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B6430EA6-643C-44ED-8543-A03FEDF0A82D}" xr6:coauthVersionLast="47" xr6:coauthVersionMax="47" xr10:uidLastSave="{00000000-0000-0000-0000-000000000000}"/>
  <bookViews>
    <workbookView xWindow="-120" yWindow="-120" windowWidth="29040" windowHeight="15720" tabRatio="921" xr2:uid="{00000000-000D-0000-FFFF-FFFF00000000}"/>
  </bookViews>
  <sheets>
    <sheet name="T.I" sheetId="26" r:id="rId1"/>
    <sheet name="T.II" sheetId="2" r:id="rId2"/>
    <sheet name="T.III" sheetId="55" r:id="rId3"/>
    <sheet name="T.IV" sheetId="6" r:id="rId4"/>
    <sheet name="T.V" sheetId="28" r:id="rId5"/>
    <sheet name="T.VI" sheetId="27" r:id="rId6"/>
    <sheet name="T.VII" sheetId="31" r:id="rId7"/>
    <sheet name="T.VIII" sheetId="29" r:id="rId8"/>
    <sheet name="T.IX" sheetId="32" r:id="rId9"/>
    <sheet name="T.X T.XI T.XII" sheetId="12" r:id="rId10"/>
    <sheet name="T.XIII" sheetId="3" r:id="rId11"/>
    <sheet name="T.XIV T.XV" sheetId="37" r:id="rId12"/>
    <sheet name="T.XVI" sheetId="40" r:id="rId13"/>
    <sheet name="T.XVII" sheetId="54" r:id="rId14"/>
    <sheet name="T.XVIII" sheetId="39" r:id="rId15"/>
    <sheet name="T.XIX" sheetId="34" r:id="rId16"/>
    <sheet name="T.XX" sheetId="41" r:id="rId17"/>
    <sheet name="T.XXI" sheetId="42" r:id="rId18"/>
    <sheet name="T.XXII" sheetId="17" r:id="rId19"/>
    <sheet name="T.XXIII" sheetId="43" r:id="rId20"/>
    <sheet name="T.XXIV" sheetId="44" r:id="rId21"/>
    <sheet name="T.XXV" sheetId="56" r:id="rId22"/>
    <sheet name="T.XXVI" sheetId="18" r:id="rId23"/>
    <sheet name="T.XXVII" sheetId="46" r:id="rId24"/>
    <sheet name="T.XXVIII" sheetId="5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27" l="1"/>
  <c r="J14" i="27"/>
  <c r="J13" i="27"/>
  <c r="C15" i="31"/>
  <c r="D7" i="27"/>
  <c r="F7" i="27"/>
  <c r="I13" i="27"/>
  <c r="J12" i="27"/>
  <c r="J11" i="27"/>
  <c r="J10" i="27"/>
  <c r="I12" i="27"/>
  <c r="I11" i="27"/>
  <c r="I10" i="27"/>
  <c r="I34" i="28"/>
  <c r="H34" i="28"/>
  <c r="E34" i="28"/>
  <c r="M7" i="26"/>
  <c r="L7" i="26"/>
  <c r="L6" i="26"/>
  <c r="J32" i="46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E34" i="17"/>
  <c r="E33" i="17"/>
  <c r="E32" i="17"/>
  <c r="E31" i="17"/>
  <c r="E30" i="17"/>
  <c r="E29" i="17"/>
  <c r="E28" i="17"/>
  <c r="E27" i="17"/>
  <c r="E26" i="17"/>
  <c r="E25" i="17"/>
  <c r="E20" i="17"/>
  <c r="E19" i="17"/>
  <c r="E18" i="17"/>
  <c r="E14" i="17"/>
  <c r="E13" i="17"/>
  <c r="E10" i="17"/>
  <c r="E9" i="17"/>
  <c r="E11" i="17"/>
  <c r="E24" i="17"/>
  <c r="E23" i="17"/>
  <c r="E22" i="17"/>
  <c r="E21" i="17"/>
  <c r="E17" i="17"/>
  <c r="E16" i="17"/>
  <c r="E15" i="17"/>
  <c r="E12" i="17"/>
  <c r="L37" i="17"/>
  <c r="L38" i="17"/>
  <c r="K9" i="43"/>
  <c r="F27" i="27"/>
  <c r="F8" i="27"/>
  <c r="Q21" i="12"/>
  <c r="P21" i="12"/>
  <c r="K8" i="12"/>
  <c r="M7" i="12"/>
  <c r="K7" i="12"/>
  <c r="W21" i="40"/>
  <c r="W20" i="40"/>
  <c r="W19" i="40"/>
  <c r="W18" i="40"/>
  <c r="H21" i="12"/>
  <c r="J31" i="57"/>
  <c r="J7" i="57"/>
  <c r="E11" i="56"/>
  <c r="F9" i="56"/>
  <c r="E9" i="56"/>
  <c r="E6" i="42"/>
  <c r="K19" i="41"/>
  <c r="I17" i="41"/>
  <c r="K17" i="41"/>
  <c r="K18" i="41"/>
  <c r="I19" i="41"/>
  <c r="I18" i="41"/>
  <c r="I16" i="41"/>
  <c r="I15" i="41"/>
  <c r="I14" i="41"/>
  <c r="I13" i="41"/>
  <c r="I12" i="41"/>
  <c r="I11" i="41"/>
  <c r="I10" i="41"/>
  <c r="I9" i="41"/>
  <c r="I8" i="41"/>
  <c r="I7" i="41"/>
  <c r="H20" i="41"/>
  <c r="H19" i="41"/>
  <c r="H18" i="41"/>
  <c r="H17" i="41"/>
  <c r="H16" i="41"/>
  <c r="H15" i="41"/>
  <c r="H14" i="41"/>
  <c r="H13" i="41"/>
  <c r="H8" i="41"/>
  <c r="H7" i="41"/>
  <c r="H12" i="41"/>
  <c r="H11" i="41"/>
  <c r="H10" i="41"/>
  <c r="H9" i="41"/>
  <c r="L13" i="37"/>
  <c r="P13" i="37"/>
  <c r="K13" i="37"/>
  <c r="P10" i="37"/>
  <c r="L10" i="37"/>
  <c r="K10" i="37"/>
  <c r="P12" i="37"/>
  <c r="L12" i="37"/>
  <c r="H12" i="37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Q8" i="3"/>
  <c r="J8" i="3" l="1"/>
  <c r="K9" i="3"/>
  <c r="J9" i="3"/>
  <c r="G5" i="3"/>
  <c r="P20" i="12"/>
  <c r="H20" i="12"/>
  <c r="H8" i="12"/>
  <c r="H7" i="12"/>
  <c r="H5" i="32"/>
  <c r="F25" i="27"/>
  <c r="F18" i="27"/>
  <c r="F11" i="27"/>
  <c r="M18" i="6"/>
  <c r="N18" i="6"/>
  <c r="N20" i="6"/>
  <c r="N10" i="6"/>
  <c r="J6" i="26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R38" i="17"/>
  <c r="E7" i="26"/>
  <c r="H10" i="6"/>
  <c r="M33" i="39"/>
  <c r="D43" i="39"/>
  <c r="C43" i="39"/>
  <c r="M32" i="39"/>
  <c r="K7" i="39"/>
  <c r="S14" i="6" l="1"/>
  <c r="S13" i="6"/>
  <c r="S12" i="6"/>
  <c r="S10" i="6"/>
  <c r="S9" i="6"/>
  <c r="R13" i="6"/>
  <c r="R14" i="6"/>
  <c r="R12" i="6"/>
  <c r="R10" i="6"/>
  <c r="R9" i="6"/>
  <c r="Q20" i="6"/>
  <c r="Q18" i="6"/>
  <c r="Q16" i="6"/>
  <c r="Q15" i="6"/>
  <c r="Q14" i="6"/>
  <c r="Q13" i="6"/>
  <c r="Q12" i="6"/>
  <c r="Q10" i="6"/>
  <c r="Q9" i="6"/>
  <c r="Q7" i="6"/>
  <c r="D20" i="6"/>
  <c r="C20" i="6"/>
  <c r="D18" i="6"/>
  <c r="C18" i="6"/>
  <c r="O18" i="6"/>
  <c r="O16" i="6"/>
  <c r="O15" i="6"/>
  <c r="G10" i="6"/>
  <c r="M10" i="6"/>
  <c r="M7" i="6"/>
  <c r="F10" i="44"/>
  <c r="F5" i="44"/>
  <c r="F12" i="43"/>
  <c r="F11" i="43"/>
  <c r="F10" i="43"/>
  <c r="F9" i="43"/>
  <c r="E9" i="43"/>
  <c r="J9" i="43"/>
  <c r="G9" i="43"/>
  <c r="C9" i="43"/>
  <c r="O10" i="6" l="1"/>
  <c r="F61" i="42"/>
  <c r="F60" i="42"/>
  <c r="D60" i="42"/>
  <c r="G20" i="41"/>
  <c r="G19" i="41"/>
  <c r="G18" i="41"/>
  <c r="F18" i="41"/>
  <c r="H5" i="55"/>
  <c r="G5" i="55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J12" i="57"/>
  <c r="J27" i="57"/>
  <c r="J22" i="57"/>
  <c r="AS9" i="43" l="1"/>
  <c r="AR9" i="43"/>
  <c r="AQ9" i="43"/>
  <c r="AP9" i="43"/>
  <c r="AO9" i="43"/>
  <c r="AN9" i="43"/>
  <c r="AF9" i="43"/>
  <c r="AE9" i="43"/>
  <c r="AD9" i="43"/>
  <c r="AC9" i="43"/>
  <c r="AB9" i="43"/>
  <c r="AA9" i="43"/>
  <c r="Q38" i="17" l="1"/>
  <c r="E43" i="39" l="1"/>
  <c r="I44" i="54" l="1"/>
  <c r="G44" i="54"/>
  <c r="E44" i="54"/>
  <c r="D44" i="54"/>
  <c r="C44" i="54"/>
  <c r="AB22" i="40"/>
  <c r="AB19" i="40" s="1"/>
  <c r="AB20" i="40"/>
  <c r="AB18" i="40"/>
  <c r="V20" i="40"/>
  <c r="V19" i="40"/>
  <c r="V18" i="40"/>
  <c r="H10" i="37" l="1"/>
  <c r="F30" i="3" l="1"/>
  <c r="E30" i="3"/>
  <c r="D30" i="3"/>
  <c r="C30" i="3"/>
  <c r="E7" i="27" l="1"/>
  <c r="E34" i="27"/>
  <c r="E33" i="28" l="1"/>
  <c r="I33" i="28" s="1"/>
  <c r="E32" i="28"/>
  <c r="I32" i="28" s="1"/>
  <c r="E28" i="28"/>
  <c r="I28" i="28" s="1"/>
  <c r="E9" i="28"/>
  <c r="I9" i="28" s="1"/>
  <c r="H23" i="28"/>
  <c r="H10" i="28"/>
  <c r="H9" i="28"/>
  <c r="H33" i="28"/>
  <c r="H32" i="28"/>
  <c r="H31" i="28"/>
  <c r="H30" i="28"/>
  <c r="H29" i="28"/>
  <c r="H28" i="28"/>
  <c r="H27" i="28"/>
  <c r="H26" i="28"/>
  <c r="H25" i="28"/>
  <c r="H24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M16" i="6"/>
  <c r="M15" i="6"/>
  <c r="M14" i="6"/>
  <c r="M13" i="6"/>
  <c r="M12" i="6"/>
  <c r="M9" i="6"/>
  <c r="L16" i="6"/>
  <c r="L15" i="6"/>
  <c r="L14" i="6"/>
  <c r="L13" i="6"/>
  <c r="L12" i="6"/>
  <c r="L10" i="6"/>
  <c r="L9" i="6"/>
  <c r="L7" i="6"/>
  <c r="N15" i="6" l="1"/>
  <c r="N9" i="6"/>
  <c r="N7" i="6" s="1"/>
  <c r="N16" i="6"/>
  <c r="N12" i="6"/>
  <c r="N13" i="6"/>
  <c r="N14" i="6"/>
  <c r="H8" i="28"/>
  <c r="I9" i="26"/>
  <c r="I8" i="26"/>
  <c r="I7" i="26"/>
  <c r="I6" i="26"/>
  <c r="T14" i="43"/>
  <c r="T34" i="43"/>
  <c r="T33" i="43"/>
  <c r="T32" i="43"/>
  <c r="T31" i="43"/>
  <c r="T30" i="43"/>
  <c r="T29" i="43"/>
  <c r="T28" i="43"/>
  <c r="T27" i="43"/>
  <c r="T26" i="43"/>
  <c r="T25" i="43"/>
  <c r="T24" i="43"/>
  <c r="T23" i="43"/>
  <c r="T22" i="43"/>
  <c r="T21" i="43"/>
  <c r="T20" i="43"/>
  <c r="T19" i="43"/>
  <c r="T18" i="43"/>
  <c r="T17" i="43"/>
  <c r="T16" i="43"/>
  <c r="T15" i="43"/>
  <c r="T13" i="43"/>
  <c r="T12" i="43"/>
  <c r="T11" i="43"/>
  <c r="T10" i="43"/>
  <c r="T9" i="43"/>
  <c r="AG9" i="43"/>
  <c r="AG34" i="43"/>
  <c r="AG33" i="43"/>
  <c r="AG32" i="43"/>
  <c r="AG31" i="43"/>
  <c r="AG30" i="43"/>
  <c r="AG29" i="43"/>
  <c r="AG28" i="43"/>
  <c r="AG27" i="43"/>
  <c r="AG26" i="43"/>
  <c r="AG25" i="43"/>
  <c r="AG24" i="43"/>
  <c r="AG23" i="43"/>
  <c r="AG22" i="43"/>
  <c r="AG21" i="43"/>
  <c r="AG20" i="43"/>
  <c r="AG19" i="43"/>
  <c r="AG18" i="43"/>
  <c r="AG17" i="43"/>
  <c r="AG16" i="43"/>
  <c r="AG15" i="43"/>
  <c r="AG14" i="43"/>
  <c r="AG13" i="43"/>
  <c r="AG12" i="43"/>
  <c r="AG11" i="43"/>
  <c r="AG10" i="43"/>
  <c r="F20" i="41"/>
  <c r="F19" i="41"/>
  <c r="J18" i="57"/>
  <c r="J17" i="57"/>
  <c r="J16" i="57"/>
  <c r="J15" i="57"/>
  <c r="J14" i="57"/>
  <c r="J10" i="57"/>
  <c r="J9" i="57"/>
  <c r="J33" i="57"/>
  <c r="J32" i="57"/>
  <c r="J30" i="57"/>
  <c r="J29" i="57"/>
  <c r="J25" i="57"/>
  <c r="J24" i="57"/>
  <c r="G11" i="3"/>
  <c r="H11" i="3" s="1"/>
  <c r="G10" i="3"/>
  <c r="H10" i="3" s="1"/>
  <c r="G9" i="3"/>
  <c r="H9" i="3" s="1"/>
  <c r="G8" i="3"/>
  <c r="H8" i="3" s="1"/>
  <c r="G6" i="3"/>
  <c r="H6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F5" i="3"/>
  <c r="E5" i="3"/>
  <c r="J5" i="3" s="1"/>
  <c r="D5" i="3"/>
  <c r="C5" i="3"/>
  <c r="G8" i="28"/>
  <c r="F8" i="28"/>
  <c r="J9" i="28"/>
  <c r="M20" i="6"/>
  <c r="L20" i="6"/>
  <c r="K20" i="6"/>
  <c r="L18" i="6"/>
  <c r="K18" i="6"/>
  <c r="J5" i="55"/>
  <c r="I5" i="55"/>
  <c r="F5" i="55"/>
  <c r="D5" i="55"/>
  <c r="C5" i="55"/>
  <c r="D5" i="2"/>
  <c r="C5" i="2"/>
  <c r="R37" i="17"/>
  <c r="N39" i="17"/>
  <c r="K29" i="37"/>
  <c r="L29" i="37" s="1"/>
  <c r="J24" i="3"/>
  <c r="I20" i="6"/>
  <c r="E20" i="6"/>
  <c r="E18" i="6"/>
  <c r="I18" i="6"/>
  <c r="H6" i="26"/>
  <c r="E11" i="55"/>
  <c r="N9" i="18"/>
  <c r="I12" i="56"/>
  <c r="H12" i="56"/>
  <c r="I11" i="56"/>
  <c r="H11" i="56"/>
  <c r="I10" i="56"/>
  <c r="H10" i="56"/>
  <c r="D9" i="56"/>
  <c r="D7" i="56" s="1"/>
  <c r="F19" i="56" s="1"/>
  <c r="C9" i="56"/>
  <c r="C7" i="56" s="1"/>
  <c r="E15" i="56" s="1"/>
  <c r="E5" i="55" l="1"/>
  <c r="H5" i="3"/>
  <c r="H13" i="56"/>
  <c r="H9" i="56" s="1"/>
  <c r="I13" i="56"/>
  <c r="I9" i="56" s="1"/>
  <c r="E19" i="56"/>
  <c r="E8" i="56"/>
  <c r="E14" i="56"/>
  <c r="E18" i="56"/>
  <c r="E17" i="56"/>
  <c r="E13" i="56"/>
  <c r="E12" i="56"/>
  <c r="E16" i="56"/>
  <c r="F12" i="56"/>
  <c r="F16" i="56"/>
  <c r="F13" i="56"/>
  <c r="F17" i="56"/>
  <c r="F11" i="56"/>
  <c r="F14" i="56"/>
  <c r="F18" i="56"/>
  <c r="F8" i="56"/>
  <c r="F15" i="56"/>
  <c r="F7" i="56" l="1"/>
  <c r="I16" i="56"/>
  <c r="I15" i="56"/>
  <c r="H15" i="56"/>
  <c r="E7" i="56"/>
  <c r="H16" i="56"/>
  <c r="O38" i="17" l="1"/>
  <c r="O37" i="17"/>
  <c r="O36" i="17"/>
  <c r="O30" i="17"/>
  <c r="O21" i="17"/>
  <c r="O15" i="17"/>
  <c r="O14" i="17"/>
  <c r="O13" i="17"/>
  <c r="Q37" i="17"/>
  <c r="F55" i="42"/>
  <c r="E18" i="41"/>
  <c r="E19" i="41" s="1"/>
  <c r="D10" i="37" l="1"/>
  <c r="L9" i="12" l="1"/>
  <c r="E9" i="31"/>
  <c r="G16" i="6"/>
  <c r="G15" i="6"/>
  <c r="G14" i="6"/>
  <c r="O14" i="6" s="1"/>
  <c r="G13" i="6"/>
  <c r="O13" i="6" s="1"/>
  <c r="G12" i="6"/>
  <c r="O12" i="6" s="1"/>
  <c r="G9" i="6"/>
  <c r="G7" i="6"/>
  <c r="O7" i="6" s="1"/>
  <c r="H13" i="2"/>
  <c r="G20" i="6" l="1"/>
  <c r="O9" i="6"/>
  <c r="O20" i="6" s="1"/>
  <c r="G18" i="6"/>
  <c r="H13" i="37" l="1"/>
  <c r="K27" i="37"/>
  <c r="M29" i="37"/>
  <c r="N29" i="37" s="1"/>
  <c r="M12" i="37"/>
  <c r="N12" i="37" s="1"/>
  <c r="K12" i="37"/>
  <c r="J18" i="3"/>
  <c r="K8" i="3"/>
  <c r="J9" i="6"/>
  <c r="G40" i="34" l="1"/>
  <c r="G36" i="34"/>
  <c r="G35" i="34"/>
  <c r="G37" i="34"/>
  <c r="G34" i="34"/>
  <c r="G43" i="34"/>
  <c r="G42" i="34"/>
  <c r="G41" i="34"/>
  <c r="J10" i="6"/>
  <c r="J20" i="6" s="1"/>
  <c r="K10" i="43"/>
  <c r="AB21" i="40" l="1"/>
  <c r="N12" i="29"/>
  <c r="N11" i="29"/>
  <c r="N10" i="29"/>
  <c r="N9" i="29"/>
  <c r="N8" i="29"/>
  <c r="E31" i="34"/>
  <c r="D8" i="34"/>
  <c r="D31" i="34"/>
  <c r="E16" i="54"/>
  <c r="O10" i="43"/>
  <c r="M10" i="43"/>
  <c r="L11" i="43"/>
  <c r="K11" i="43"/>
  <c r="F11" i="34" l="1"/>
  <c r="F10" i="34"/>
  <c r="F16" i="34"/>
  <c r="F13" i="34"/>
  <c r="F12" i="34"/>
  <c r="O11" i="43"/>
  <c r="AC20" i="40"/>
  <c r="AC18" i="40"/>
  <c r="AC19" i="40"/>
  <c r="AC21" i="40" l="1"/>
  <c r="Q36" i="17"/>
  <c r="O35" i="17"/>
  <c r="O34" i="17"/>
  <c r="O33" i="17"/>
  <c r="O32" i="17"/>
  <c r="O31" i="17"/>
  <c r="H8" i="32" l="1"/>
  <c r="H7" i="32"/>
  <c r="H6" i="32"/>
  <c r="G8" i="32"/>
  <c r="G7" i="32"/>
  <c r="G6" i="32"/>
  <c r="F9" i="18"/>
  <c r="O9" i="18"/>
  <c r="R9" i="18"/>
  <c r="Q9" i="18"/>
  <c r="P9" i="18"/>
  <c r="M9" i="18"/>
  <c r="L9" i="18"/>
  <c r="E31" i="28" l="1"/>
  <c r="I31" i="28" s="1"/>
  <c r="E30" i="28"/>
  <c r="I30" i="28" s="1"/>
  <c r="E29" i="28"/>
  <c r="I29" i="28" s="1"/>
  <c r="E27" i="28"/>
  <c r="I27" i="28" s="1"/>
  <c r="E26" i="28"/>
  <c r="I26" i="28" s="1"/>
  <c r="E25" i="28"/>
  <c r="I25" i="28" s="1"/>
  <c r="E24" i="28"/>
  <c r="I24" i="28" s="1"/>
  <c r="E23" i="28"/>
  <c r="I23" i="28" s="1"/>
  <c r="E22" i="28"/>
  <c r="I22" i="28" s="1"/>
  <c r="E21" i="28"/>
  <c r="I21" i="28" s="1"/>
  <c r="E20" i="28"/>
  <c r="I20" i="28" s="1"/>
  <c r="E19" i="28"/>
  <c r="I19" i="28" s="1"/>
  <c r="E18" i="28"/>
  <c r="I18" i="28" s="1"/>
  <c r="E17" i="28"/>
  <c r="I17" i="28" s="1"/>
  <c r="E16" i="28"/>
  <c r="I16" i="28" s="1"/>
  <c r="E15" i="28"/>
  <c r="I15" i="28" s="1"/>
  <c r="E14" i="28"/>
  <c r="I14" i="28" s="1"/>
  <c r="E13" i="28"/>
  <c r="I13" i="28" s="1"/>
  <c r="E12" i="28"/>
  <c r="I12" i="28" s="1"/>
  <c r="E11" i="28"/>
  <c r="I11" i="28" s="1"/>
  <c r="E10" i="28"/>
  <c r="C9" i="31"/>
  <c r="C25" i="27"/>
  <c r="J7" i="6"/>
  <c r="I10" i="28" l="1"/>
  <c r="C7" i="27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P4" i="2"/>
  <c r="H5" i="2"/>
  <c r="O4" i="2"/>
  <c r="N6" i="2" l="1"/>
  <c r="K6" i="2"/>
  <c r="L6" i="2"/>
  <c r="D12" i="37"/>
  <c r="C35" i="17"/>
  <c r="I10" i="34"/>
  <c r="C34" i="27"/>
  <c r="D7" i="39" l="1"/>
  <c r="E25" i="27" l="1"/>
  <c r="G6" i="55"/>
  <c r="G26" i="55"/>
  <c r="G25" i="55"/>
  <c r="G14" i="55"/>
  <c r="G13" i="55"/>
  <c r="G12" i="55"/>
  <c r="G11" i="55"/>
  <c r="G10" i="55"/>
  <c r="G9" i="55"/>
  <c r="G8" i="55"/>
  <c r="G7" i="55"/>
  <c r="E26" i="55"/>
  <c r="M8" i="3" l="1"/>
  <c r="R36" i="17"/>
  <c r="R35" i="17"/>
  <c r="Q35" i="17"/>
  <c r="I11" i="40" l="1"/>
  <c r="I10" i="40"/>
  <c r="I9" i="40"/>
  <c r="L27" i="37"/>
  <c r="H29" i="37"/>
  <c r="P29" i="37" s="1"/>
  <c r="H8" i="2" l="1"/>
  <c r="H7" i="2"/>
  <c r="H6" i="2"/>
  <c r="H10" i="2"/>
  <c r="H9" i="2"/>
  <c r="Q34" i="17"/>
  <c r="D29" i="37"/>
  <c r="K8" i="37" l="1"/>
  <c r="G11" i="31"/>
  <c r="F10" i="27"/>
  <c r="G44" i="34" l="1"/>
  <c r="H40" i="34" s="1"/>
  <c r="H43" i="34" l="1"/>
  <c r="H42" i="34"/>
  <c r="H41" i="34"/>
  <c r="H44" i="34" l="1"/>
  <c r="E12" i="55" l="1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0" i="55"/>
  <c r="E9" i="55"/>
  <c r="E8" i="55"/>
  <c r="E7" i="55"/>
  <c r="E6" i="55"/>
  <c r="G24" i="55"/>
  <c r="G23" i="55"/>
  <c r="G22" i="55"/>
  <c r="G21" i="55"/>
  <c r="G20" i="55"/>
  <c r="G19" i="55"/>
  <c r="G18" i="55"/>
  <c r="G17" i="55"/>
  <c r="G16" i="55"/>
  <c r="G15" i="55"/>
  <c r="L19" i="55" l="1"/>
  <c r="L6" i="55"/>
  <c r="L15" i="55"/>
  <c r="M15" i="55"/>
  <c r="L22" i="55"/>
  <c r="M22" i="55"/>
  <c r="L17" i="55"/>
  <c r="M17" i="55"/>
  <c r="M6" i="55"/>
  <c r="M26" i="55"/>
  <c r="L26" i="55"/>
  <c r="L20" i="55"/>
  <c r="M20" i="55"/>
  <c r="L9" i="55"/>
  <c r="M9" i="55"/>
  <c r="M25" i="55"/>
  <c r="L25" i="55"/>
  <c r="M16" i="55"/>
  <c r="L16" i="55"/>
  <c r="L18" i="55"/>
  <c r="M18" i="55"/>
  <c r="M19" i="55"/>
  <c r="M7" i="55"/>
  <c r="L7" i="55"/>
  <c r="M8" i="55"/>
  <c r="L8" i="55"/>
  <c r="L21" i="55"/>
  <c r="M21" i="55"/>
  <c r="L10" i="55"/>
  <c r="M10" i="55"/>
  <c r="M23" i="55"/>
  <c r="L23" i="55"/>
  <c r="M11" i="55"/>
  <c r="L11" i="55"/>
  <c r="M24" i="55"/>
  <c r="L24" i="55"/>
  <c r="M13" i="55"/>
  <c r="L13" i="55"/>
  <c r="L14" i="55"/>
  <c r="M14" i="55"/>
  <c r="M12" i="55"/>
  <c r="L12" i="55"/>
  <c r="K18" i="12"/>
  <c r="C5" i="12"/>
  <c r="C18" i="12"/>
  <c r="M18" i="12"/>
  <c r="E18" i="12"/>
  <c r="E5" i="12"/>
  <c r="R24" i="55" l="1"/>
  <c r="R11" i="55"/>
  <c r="P21" i="55"/>
  <c r="P22" i="55"/>
  <c r="R21" i="55"/>
  <c r="Q6" i="55"/>
  <c r="P18" i="55"/>
  <c r="Q14" i="55"/>
  <c r="R23" i="55"/>
  <c r="O12" i="55"/>
  <c r="R16" i="55"/>
  <c r="R15" i="55"/>
  <c r="O24" i="55"/>
  <c r="O25" i="55"/>
  <c r="Q9" i="55"/>
  <c r="P7" i="55"/>
  <c r="O17" i="55"/>
  <c r="P20" i="55"/>
  <c r="P26" i="55"/>
  <c r="P15" i="55"/>
  <c r="O7" i="55"/>
  <c r="P8" i="55"/>
  <c r="P23" i="55"/>
  <c r="Q12" i="55"/>
  <c r="R8" i="55"/>
  <c r="O9" i="55"/>
  <c r="O6" i="55"/>
  <c r="O14" i="55"/>
  <c r="Q17" i="55"/>
  <c r="P14" i="55"/>
  <c r="Q21" i="55"/>
  <c r="R7" i="55"/>
  <c r="O13" i="55"/>
  <c r="Q7" i="55"/>
  <c r="Q19" i="55"/>
  <c r="O26" i="55"/>
  <c r="O16" i="55"/>
  <c r="Q25" i="55"/>
  <c r="Q24" i="55"/>
  <c r="Q10" i="55"/>
  <c r="P16" i="55"/>
  <c r="R14" i="55"/>
  <c r="R20" i="55"/>
  <c r="R10" i="55"/>
  <c r="P17" i="55"/>
  <c r="P13" i="55"/>
  <c r="Q18" i="55"/>
  <c r="P10" i="55"/>
  <c r="O18" i="55"/>
  <c r="O22" i="55"/>
  <c r="Q15" i="55"/>
  <c r="Q22" i="55"/>
  <c r="Q13" i="55"/>
  <c r="R13" i="55"/>
  <c r="O19" i="55"/>
  <c r="Q8" i="55"/>
  <c r="P24" i="55"/>
  <c r="Q26" i="55"/>
  <c r="Q20" i="55"/>
  <c r="O8" i="55"/>
  <c r="O15" i="55"/>
  <c r="O10" i="55"/>
  <c r="Q16" i="55"/>
  <c r="R12" i="55"/>
  <c r="R6" i="55"/>
  <c r="R9" i="55"/>
  <c r="O11" i="55"/>
  <c r="P11" i="55"/>
  <c r="P6" i="55"/>
  <c r="P9" i="55"/>
  <c r="P19" i="55"/>
  <c r="R19" i="55"/>
  <c r="O20" i="55"/>
  <c r="P25" i="55"/>
  <c r="R22" i="55"/>
  <c r="R17" i="55"/>
  <c r="P12" i="55"/>
  <c r="Q11" i="55"/>
  <c r="Q23" i="55"/>
  <c r="R25" i="55"/>
  <c r="R26" i="55"/>
  <c r="R18" i="55"/>
  <c r="O23" i="55"/>
  <c r="O21" i="55"/>
  <c r="F11" i="12"/>
  <c r="F9" i="12"/>
  <c r="F8" i="12"/>
  <c r="F7" i="12"/>
  <c r="F10" i="12"/>
  <c r="F12" i="12"/>
  <c r="D12" i="12"/>
  <c r="D11" i="12"/>
  <c r="D10" i="12"/>
  <c r="D9" i="12"/>
  <c r="D8" i="12"/>
  <c r="D7" i="12"/>
  <c r="M8" i="12" l="1"/>
  <c r="F5" i="12"/>
  <c r="J14" i="43"/>
  <c r="F13" i="43"/>
  <c r="M9" i="12" l="1"/>
  <c r="K9" i="12"/>
  <c r="Q33" i="17"/>
  <c r="Q32" i="17"/>
  <c r="C7" i="46" l="1"/>
  <c r="J9" i="40" l="1"/>
  <c r="G5" i="32" l="1"/>
  <c r="K9" i="40"/>
  <c r="E6" i="26"/>
  <c r="E8" i="26"/>
  <c r="H8" i="26"/>
  <c r="F12" i="37" l="1"/>
  <c r="G38" i="34" l="1"/>
  <c r="F7" i="39"/>
  <c r="G7" i="39"/>
  <c r="I7" i="39"/>
  <c r="J7" i="39"/>
  <c r="R33" i="17"/>
  <c r="R34" i="17"/>
  <c r="D30" i="37"/>
  <c r="H34" i="34" l="1"/>
  <c r="H36" i="34"/>
  <c r="H37" i="34"/>
  <c r="H35" i="34"/>
  <c r="H7" i="39"/>
  <c r="J26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K18" i="3"/>
  <c r="J19" i="3"/>
  <c r="K19" i="3"/>
  <c r="J20" i="3"/>
  <c r="K20" i="3"/>
  <c r="J21" i="3"/>
  <c r="K21" i="3"/>
  <c r="J22" i="3"/>
  <c r="K22" i="3"/>
  <c r="J23" i="3"/>
  <c r="K23" i="3"/>
  <c r="K24" i="3"/>
  <c r="J25" i="3"/>
  <c r="K25" i="3"/>
  <c r="K26" i="3"/>
  <c r="J27" i="3"/>
  <c r="K27" i="3"/>
  <c r="J28" i="3"/>
  <c r="K28" i="3"/>
  <c r="H38" i="34" l="1"/>
  <c r="I12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1" i="34"/>
  <c r="K10" i="34" l="1"/>
  <c r="J10" i="34"/>
  <c r="J12" i="34"/>
  <c r="J16" i="34"/>
  <c r="J20" i="34"/>
  <c r="J24" i="34"/>
  <c r="J28" i="34"/>
  <c r="J13" i="34"/>
  <c r="J17" i="34"/>
  <c r="J21" i="34"/>
  <c r="J25" i="34"/>
  <c r="J29" i="34"/>
  <c r="J14" i="34"/>
  <c r="J18" i="34"/>
  <c r="J22" i="34"/>
  <c r="J26" i="34"/>
  <c r="J30" i="34"/>
  <c r="J11" i="34"/>
  <c r="J15" i="34"/>
  <c r="J19" i="34"/>
  <c r="J23" i="34"/>
  <c r="J27" i="34"/>
  <c r="E8" i="34"/>
  <c r="F29" i="34"/>
  <c r="F30" i="34"/>
  <c r="F26" i="34"/>
  <c r="F22" i="34"/>
  <c r="F18" i="34"/>
  <c r="F14" i="34"/>
  <c r="F31" i="34" l="1"/>
  <c r="F15" i="34"/>
  <c r="F19" i="34"/>
  <c r="F23" i="34"/>
  <c r="F27" i="34"/>
  <c r="K12" i="34"/>
  <c r="F20" i="34"/>
  <c r="F24" i="34"/>
  <c r="K14" i="34" s="1"/>
  <c r="F28" i="34"/>
  <c r="K29" i="34"/>
  <c r="F17" i="34"/>
  <c r="F21" i="34"/>
  <c r="F25" i="34"/>
  <c r="R12" i="17"/>
  <c r="O29" i="17"/>
  <c r="O28" i="17"/>
  <c r="O27" i="17"/>
  <c r="O26" i="17"/>
  <c r="O25" i="17"/>
  <c r="O24" i="17"/>
  <c r="O23" i="17"/>
  <c r="O22" i="17"/>
  <c r="O20" i="17"/>
  <c r="O19" i="17"/>
  <c r="O18" i="17"/>
  <c r="O17" i="17"/>
  <c r="O16" i="17"/>
  <c r="F8" i="34" l="1"/>
  <c r="K11" i="34"/>
  <c r="K27" i="34"/>
  <c r="K20" i="34"/>
  <c r="K22" i="34"/>
  <c r="K19" i="34"/>
  <c r="K21" i="34"/>
  <c r="K13" i="34"/>
  <c r="K26" i="34"/>
  <c r="K16" i="34"/>
  <c r="K23" i="34"/>
  <c r="K28" i="34"/>
  <c r="K15" i="34"/>
  <c r="K30" i="34"/>
  <c r="K25" i="34"/>
  <c r="K18" i="34"/>
  <c r="K24" i="34"/>
  <c r="K17" i="34"/>
  <c r="D19" i="41"/>
  <c r="D8" i="40"/>
  <c r="D11" i="37"/>
  <c r="D13" i="37"/>
  <c r="D14" i="37"/>
  <c r="D15" i="37"/>
  <c r="D16" i="37"/>
  <c r="D17" i="37"/>
  <c r="J9" i="26"/>
  <c r="J8" i="26"/>
  <c r="J7" i="26"/>
  <c r="H9" i="26"/>
  <c r="H7" i="26"/>
  <c r="E9" i="26"/>
  <c r="G8" i="31" l="1"/>
  <c r="G7" i="31"/>
  <c r="D20" i="41" l="1"/>
  <c r="E20" i="41"/>
  <c r="K16" i="39"/>
  <c r="F35" i="32"/>
  <c r="D35" i="32"/>
  <c r="C35" i="32"/>
  <c r="E35" i="32"/>
  <c r="D8" i="27" l="1"/>
  <c r="F47" i="44" l="1"/>
  <c r="G58" i="42" l="1"/>
  <c r="F48" i="42"/>
  <c r="G51" i="42" s="1"/>
  <c r="F44" i="42"/>
  <c r="G47" i="42" s="1"/>
  <c r="F38" i="42"/>
  <c r="G41" i="42" s="1"/>
  <c r="F34" i="42"/>
  <c r="G37" i="42" s="1"/>
  <c r="F29" i="42"/>
  <c r="G31" i="42" s="1"/>
  <c r="F24" i="42"/>
  <c r="G28" i="42" s="1"/>
  <c r="F18" i="42"/>
  <c r="G21" i="42" s="1"/>
  <c r="F11" i="42"/>
  <c r="G14" i="42" s="1"/>
  <c r="F6" i="42"/>
  <c r="F54" i="44"/>
  <c r="G53" i="44"/>
  <c r="F43" i="44"/>
  <c r="F37" i="44"/>
  <c r="G39" i="44" s="1"/>
  <c r="F33" i="44"/>
  <c r="G36" i="44" s="1"/>
  <c r="F28" i="44"/>
  <c r="G32" i="44" s="1"/>
  <c r="F23" i="44"/>
  <c r="G26" i="44" s="1"/>
  <c r="F17" i="44"/>
  <c r="G19" i="44" s="1"/>
  <c r="G8" i="44"/>
  <c r="G46" i="44" l="1"/>
  <c r="F59" i="44"/>
  <c r="G37" i="44" s="1"/>
  <c r="F65" i="42"/>
  <c r="G43" i="42"/>
  <c r="G30" i="42"/>
  <c r="G33" i="42"/>
  <c r="G20" i="42"/>
  <c r="G23" i="42"/>
  <c r="G16" i="42"/>
  <c r="G7" i="42"/>
  <c r="G9" i="44"/>
  <c r="G29" i="44"/>
  <c r="G30" i="44"/>
  <c r="G27" i="44"/>
  <c r="G6" i="44"/>
  <c r="G7" i="44"/>
  <c r="G56" i="42"/>
  <c r="G57" i="42"/>
  <c r="G54" i="42"/>
  <c r="G49" i="42"/>
  <c r="G50" i="42"/>
  <c r="G53" i="42"/>
  <c r="G39" i="42"/>
  <c r="G40" i="42"/>
  <c r="G19" i="42"/>
  <c r="G17" i="42"/>
  <c r="G12" i="42"/>
  <c r="G13" i="42"/>
  <c r="G8" i="42"/>
  <c r="G15" i="42"/>
  <c r="G22" i="42"/>
  <c r="G25" i="42"/>
  <c r="G32" i="42"/>
  <c r="G35" i="42"/>
  <c r="G42" i="42"/>
  <c r="G45" i="42"/>
  <c r="G52" i="42"/>
  <c r="G26" i="42"/>
  <c r="G36" i="42"/>
  <c r="G46" i="42"/>
  <c r="G10" i="42"/>
  <c r="G27" i="42"/>
  <c r="G9" i="42"/>
  <c r="G13" i="44"/>
  <c r="G20" i="44"/>
  <c r="G50" i="44"/>
  <c r="G14" i="44"/>
  <c r="G21" i="44"/>
  <c r="G24" i="44"/>
  <c r="G31" i="44"/>
  <c r="G34" i="44"/>
  <c r="G41" i="44"/>
  <c r="G44" i="44"/>
  <c r="G51" i="44"/>
  <c r="G11" i="44"/>
  <c r="G15" i="44"/>
  <c r="G18" i="44"/>
  <c r="G22" i="44"/>
  <c r="G25" i="44"/>
  <c r="G35" i="44"/>
  <c r="G38" i="44"/>
  <c r="G42" i="44"/>
  <c r="G45" i="44"/>
  <c r="G48" i="44"/>
  <c r="G52" i="44"/>
  <c r="G40" i="44"/>
  <c r="G12" i="44"/>
  <c r="G16" i="44"/>
  <c r="G49" i="44"/>
  <c r="I46" i="54"/>
  <c r="J46" i="54" s="1"/>
  <c r="I45" i="54"/>
  <c r="J45" i="54" s="1"/>
  <c r="F60" i="44" l="1"/>
  <c r="G58" i="44" s="1"/>
  <c r="E45" i="54"/>
  <c r="F45" i="54" s="1"/>
  <c r="C45" i="54"/>
  <c r="D45" i="54" s="1"/>
  <c r="G47" i="44"/>
  <c r="G10" i="44"/>
  <c r="G23" i="44"/>
  <c r="G33" i="44"/>
  <c r="G28" i="44"/>
  <c r="G43" i="44"/>
  <c r="G54" i="44"/>
  <c r="G5" i="44"/>
  <c r="G17" i="44"/>
  <c r="G59" i="42"/>
  <c r="G44" i="42"/>
  <c r="G34" i="42"/>
  <c r="G24" i="42"/>
  <c r="G29" i="42"/>
  <c r="G55" i="42"/>
  <c r="G48" i="42"/>
  <c r="G38" i="42"/>
  <c r="G18" i="42"/>
  <c r="G6" i="42"/>
  <c r="G11" i="42"/>
  <c r="R32" i="17"/>
  <c r="F8" i="40"/>
  <c r="H27" i="37" l="1"/>
  <c r="K25" i="37"/>
  <c r="G59" i="44"/>
  <c r="G60" i="42"/>
  <c r="H12" i="2" l="1"/>
  <c r="D7" i="46" l="1"/>
  <c r="E7" i="46"/>
  <c r="Q18" i="17" l="1"/>
  <c r="M30" i="37" l="1"/>
  <c r="N30" i="37" s="1"/>
  <c r="I69" i="54"/>
  <c r="J69" i="54" s="1"/>
  <c r="I68" i="54"/>
  <c r="J68" i="54" s="1"/>
  <c r="I67" i="54"/>
  <c r="J67" i="54" s="1"/>
  <c r="I66" i="54"/>
  <c r="J66" i="54" s="1"/>
  <c r="I65" i="54"/>
  <c r="J65" i="54" s="1"/>
  <c r="I64" i="54"/>
  <c r="J64" i="54" s="1"/>
  <c r="I63" i="54"/>
  <c r="J63" i="54" s="1"/>
  <c r="I62" i="54"/>
  <c r="J62" i="54" s="1"/>
  <c r="I61" i="54"/>
  <c r="J61" i="54" s="1"/>
  <c r="I60" i="54"/>
  <c r="J60" i="54" s="1"/>
  <c r="I59" i="54"/>
  <c r="J59" i="54" s="1"/>
  <c r="I58" i="54"/>
  <c r="J58" i="54" s="1"/>
  <c r="I57" i="54"/>
  <c r="J57" i="54" s="1"/>
  <c r="I56" i="54"/>
  <c r="J56" i="54" s="1"/>
  <c r="I55" i="54"/>
  <c r="J55" i="54" s="1"/>
  <c r="I54" i="54"/>
  <c r="J54" i="54" s="1"/>
  <c r="I53" i="54"/>
  <c r="J53" i="54" s="1"/>
  <c r="I52" i="54"/>
  <c r="J52" i="54" s="1"/>
  <c r="I51" i="54"/>
  <c r="J51" i="54" s="1"/>
  <c r="I50" i="54"/>
  <c r="J50" i="54" s="1"/>
  <c r="I49" i="54"/>
  <c r="J49" i="54" s="1"/>
  <c r="I48" i="54"/>
  <c r="J48" i="54" s="1"/>
  <c r="I47" i="54"/>
  <c r="J47" i="54" s="1"/>
  <c r="G69" i="54"/>
  <c r="H69" i="54" s="1"/>
  <c r="G68" i="54"/>
  <c r="H68" i="54" s="1"/>
  <c r="G67" i="54"/>
  <c r="H67" i="54" s="1"/>
  <c r="G66" i="54"/>
  <c r="H66" i="54" s="1"/>
  <c r="G65" i="54"/>
  <c r="H65" i="54" s="1"/>
  <c r="G64" i="54"/>
  <c r="H64" i="54" s="1"/>
  <c r="G63" i="54"/>
  <c r="H63" i="54" s="1"/>
  <c r="G62" i="54"/>
  <c r="H62" i="54" s="1"/>
  <c r="G61" i="54"/>
  <c r="H61" i="54" s="1"/>
  <c r="G60" i="54"/>
  <c r="H60" i="54" s="1"/>
  <c r="G59" i="54"/>
  <c r="H59" i="54" s="1"/>
  <c r="G58" i="54"/>
  <c r="H58" i="54" s="1"/>
  <c r="G57" i="54"/>
  <c r="H57" i="54" s="1"/>
  <c r="G56" i="54"/>
  <c r="H56" i="54" s="1"/>
  <c r="G55" i="54"/>
  <c r="H55" i="54" s="1"/>
  <c r="G54" i="54"/>
  <c r="H54" i="54" s="1"/>
  <c r="G53" i="54"/>
  <c r="H53" i="54" s="1"/>
  <c r="G52" i="54"/>
  <c r="H52" i="54" s="1"/>
  <c r="G51" i="54"/>
  <c r="H51" i="54" s="1"/>
  <c r="G50" i="54"/>
  <c r="H50" i="54" s="1"/>
  <c r="G49" i="54"/>
  <c r="H49" i="54" s="1"/>
  <c r="G48" i="54"/>
  <c r="H48" i="54" s="1"/>
  <c r="G47" i="54"/>
  <c r="H47" i="54" s="1"/>
  <c r="G46" i="54"/>
  <c r="H46" i="54" s="1"/>
  <c r="G45" i="54"/>
  <c r="H45" i="54" s="1"/>
  <c r="E69" i="54"/>
  <c r="F69" i="54" s="1"/>
  <c r="E68" i="54"/>
  <c r="F68" i="54" s="1"/>
  <c r="E67" i="54"/>
  <c r="F67" i="54" s="1"/>
  <c r="E66" i="54"/>
  <c r="F66" i="54" s="1"/>
  <c r="E65" i="54"/>
  <c r="F65" i="54" s="1"/>
  <c r="E64" i="54"/>
  <c r="F64" i="54" s="1"/>
  <c r="E63" i="54"/>
  <c r="F63" i="54" s="1"/>
  <c r="E62" i="54"/>
  <c r="F62" i="54" s="1"/>
  <c r="E61" i="54"/>
  <c r="F61" i="54" s="1"/>
  <c r="E60" i="54"/>
  <c r="F60" i="54" s="1"/>
  <c r="E59" i="54"/>
  <c r="F59" i="54" s="1"/>
  <c r="E58" i="54"/>
  <c r="F58" i="54" s="1"/>
  <c r="E57" i="54"/>
  <c r="F57" i="54" s="1"/>
  <c r="E56" i="54"/>
  <c r="F56" i="54" s="1"/>
  <c r="E55" i="54"/>
  <c r="F55" i="54" s="1"/>
  <c r="E54" i="54"/>
  <c r="F54" i="54" s="1"/>
  <c r="E53" i="54"/>
  <c r="F53" i="54" s="1"/>
  <c r="E52" i="54"/>
  <c r="F52" i="54" s="1"/>
  <c r="E51" i="54"/>
  <c r="F51" i="54" s="1"/>
  <c r="E50" i="54"/>
  <c r="F50" i="54" s="1"/>
  <c r="E49" i="54"/>
  <c r="F49" i="54" s="1"/>
  <c r="E48" i="54"/>
  <c r="F48" i="54" s="1"/>
  <c r="E47" i="54"/>
  <c r="F47" i="54" s="1"/>
  <c r="E46" i="54"/>
  <c r="F46" i="54" s="1"/>
  <c r="C69" i="54"/>
  <c r="D69" i="54" s="1"/>
  <c r="C68" i="54"/>
  <c r="D68" i="54" s="1"/>
  <c r="C67" i="54"/>
  <c r="D67" i="54" s="1"/>
  <c r="C66" i="54"/>
  <c r="D66" i="54" s="1"/>
  <c r="C65" i="54"/>
  <c r="D65" i="54" s="1"/>
  <c r="C64" i="54"/>
  <c r="D64" i="54" s="1"/>
  <c r="C63" i="54"/>
  <c r="D63" i="54" s="1"/>
  <c r="C62" i="54"/>
  <c r="D62" i="54" s="1"/>
  <c r="C61" i="54"/>
  <c r="D61" i="54" s="1"/>
  <c r="C60" i="54"/>
  <c r="D60" i="54" s="1"/>
  <c r="C59" i="54"/>
  <c r="D59" i="54" s="1"/>
  <c r="C58" i="54"/>
  <c r="D58" i="54" s="1"/>
  <c r="C57" i="54"/>
  <c r="D57" i="54" s="1"/>
  <c r="C56" i="54"/>
  <c r="D56" i="54" s="1"/>
  <c r="C55" i="54"/>
  <c r="D55" i="54" s="1"/>
  <c r="C54" i="54"/>
  <c r="D54" i="54" s="1"/>
  <c r="C53" i="54"/>
  <c r="D53" i="54" s="1"/>
  <c r="C52" i="54"/>
  <c r="D52" i="54" s="1"/>
  <c r="C51" i="54"/>
  <c r="D51" i="54" s="1"/>
  <c r="C50" i="54"/>
  <c r="D50" i="54" s="1"/>
  <c r="C49" i="54"/>
  <c r="D49" i="54" s="1"/>
  <c r="C48" i="54"/>
  <c r="D48" i="54" s="1"/>
  <c r="C47" i="54"/>
  <c r="D47" i="54" s="1"/>
  <c r="C46" i="54"/>
  <c r="D46" i="54" s="1"/>
  <c r="T33" i="54"/>
  <c r="Q33" i="54"/>
  <c r="T32" i="54"/>
  <c r="Q32" i="54"/>
  <c r="T31" i="54"/>
  <c r="Q31" i="54"/>
  <c r="T30" i="54"/>
  <c r="Q30" i="54"/>
  <c r="T29" i="54"/>
  <c r="Q29" i="54"/>
  <c r="T28" i="54"/>
  <c r="Q28" i="54"/>
  <c r="T27" i="54"/>
  <c r="Q27" i="54"/>
  <c r="T26" i="54"/>
  <c r="Q26" i="54"/>
  <c r="T25" i="54"/>
  <c r="Q25" i="54"/>
  <c r="T24" i="54"/>
  <c r="Q24" i="54"/>
  <c r="T23" i="54"/>
  <c r="Q23" i="54"/>
  <c r="T22" i="54"/>
  <c r="Q22" i="54"/>
  <c r="T21" i="54"/>
  <c r="Q21" i="54"/>
  <c r="T20" i="54"/>
  <c r="Q20" i="54"/>
  <c r="T19" i="54"/>
  <c r="Q19" i="54"/>
  <c r="T18" i="54"/>
  <c r="Q18" i="54"/>
  <c r="T17" i="54"/>
  <c r="Q17" i="54"/>
  <c r="T16" i="54"/>
  <c r="Q16" i="54"/>
  <c r="T15" i="54"/>
  <c r="Q15" i="54"/>
  <c r="T14" i="54"/>
  <c r="Q14" i="54"/>
  <c r="T13" i="54"/>
  <c r="Q13" i="54"/>
  <c r="T12" i="54"/>
  <c r="Q12" i="54"/>
  <c r="T11" i="54"/>
  <c r="Q11" i="54"/>
  <c r="T10" i="54"/>
  <c r="Q10" i="54"/>
  <c r="T9" i="54"/>
  <c r="Q9" i="54"/>
  <c r="S8" i="54"/>
  <c r="T8" i="54" s="1"/>
  <c r="R8" i="54"/>
  <c r="P8" i="54"/>
  <c r="O8" i="54"/>
  <c r="N33" i="54"/>
  <c r="K33" i="54"/>
  <c r="N32" i="54"/>
  <c r="K32" i="54"/>
  <c r="N31" i="54"/>
  <c r="K31" i="54"/>
  <c r="N30" i="54"/>
  <c r="K30" i="54"/>
  <c r="N29" i="54"/>
  <c r="K29" i="54"/>
  <c r="N28" i="54"/>
  <c r="K28" i="54"/>
  <c r="N27" i="54"/>
  <c r="K27" i="54"/>
  <c r="N26" i="54"/>
  <c r="K26" i="54"/>
  <c r="N25" i="54"/>
  <c r="K25" i="54"/>
  <c r="N24" i="54"/>
  <c r="K24" i="54"/>
  <c r="N23" i="54"/>
  <c r="K23" i="54"/>
  <c r="N22" i="54"/>
  <c r="K22" i="54"/>
  <c r="N21" i="54"/>
  <c r="K21" i="54"/>
  <c r="N20" i="54"/>
  <c r="K20" i="54"/>
  <c r="N19" i="54"/>
  <c r="K19" i="54"/>
  <c r="N18" i="54"/>
  <c r="K18" i="54"/>
  <c r="N17" i="54"/>
  <c r="K17" i="54"/>
  <c r="N16" i="54"/>
  <c r="K16" i="54"/>
  <c r="N15" i="54"/>
  <c r="K15" i="54"/>
  <c r="N14" i="54"/>
  <c r="K14" i="54"/>
  <c r="N13" i="54"/>
  <c r="K13" i="54"/>
  <c r="N12" i="54"/>
  <c r="K12" i="54"/>
  <c r="N11" i="54"/>
  <c r="K11" i="54"/>
  <c r="N10" i="54"/>
  <c r="K10" i="54"/>
  <c r="N9" i="54"/>
  <c r="K9" i="54"/>
  <c r="M8" i="54"/>
  <c r="L8" i="54"/>
  <c r="J8" i="54"/>
  <c r="I8" i="54"/>
  <c r="H33" i="54"/>
  <c r="E33" i="54"/>
  <c r="H32" i="54"/>
  <c r="E32" i="54"/>
  <c r="H31" i="54"/>
  <c r="E31" i="54"/>
  <c r="H30" i="54"/>
  <c r="E30" i="54"/>
  <c r="H29" i="54"/>
  <c r="E29" i="54"/>
  <c r="H28" i="54"/>
  <c r="E28" i="54"/>
  <c r="H27" i="54"/>
  <c r="E27" i="54"/>
  <c r="H26" i="54"/>
  <c r="E26" i="54"/>
  <c r="H25" i="54"/>
  <c r="E25" i="54"/>
  <c r="H24" i="54"/>
  <c r="E24" i="54"/>
  <c r="H23" i="54"/>
  <c r="E23" i="54"/>
  <c r="H22" i="54"/>
  <c r="E22" i="54"/>
  <c r="H21" i="54"/>
  <c r="E21" i="54"/>
  <c r="H20" i="54"/>
  <c r="E20" i="54"/>
  <c r="H19" i="54"/>
  <c r="E19" i="54"/>
  <c r="H18" i="54"/>
  <c r="E18" i="54"/>
  <c r="H17" i="54"/>
  <c r="E17" i="54"/>
  <c r="H16" i="54"/>
  <c r="H15" i="54"/>
  <c r="E15" i="54"/>
  <c r="H14" i="54"/>
  <c r="E14" i="54"/>
  <c r="H13" i="54"/>
  <c r="E13" i="54"/>
  <c r="H12" i="54"/>
  <c r="E12" i="54"/>
  <c r="H11" i="54"/>
  <c r="E11" i="54"/>
  <c r="H10" i="54"/>
  <c r="E10" i="54"/>
  <c r="H9" i="54"/>
  <c r="E9" i="54"/>
  <c r="G8" i="54"/>
  <c r="F8" i="54"/>
  <c r="D8" i="54"/>
  <c r="C8" i="54"/>
  <c r="E44" i="39"/>
  <c r="F44" i="39" s="1"/>
  <c r="E68" i="39"/>
  <c r="F68" i="39" s="1"/>
  <c r="E67" i="39"/>
  <c r="F67" i="39" s="1"/>
  <c r="E66" i="39"/>
  <c r="F66" i="39" s="1"/>
  <c r="E65" i="39"/>
  <c r="F65" i="39" s="1"/>
  <c r="E64" i="39"/>
  <c r="F64" i="39" s="1"/>
  <c r="E63" i="39"/>
  <c r="F63" i="39" s="1"/>
  <c r="E62" i="39"/>
  <c r="F62" i="39" s="1"/>
  <c r="E61" i="39"/>
  <c r="F61" i="39" s="1"/>
  <c r="E60" i="39"/>
  <c r="F60" i="39" s="1"/>
  <c r="E59" i="39"/>
  <c r="F59" i="39" s="1"/>
  <c r="E58" i="39"/>
  <c r="F58" i="39" s="1"/>
  <c r="E57" i="39"/>
  <c r="F57" i="39" s="1"/>
  <c r="E56" i="39"/>
  <c r="F56" i="39" s="1"/>
  <c r="E55" i="39"/>
  <c r="F55" i="39" s="1"/>
  <c r="E54" i="39"/>
  <c r="F54" i="39" s="1"/>
  <c r="E53" i="39"/>
  <c r="F53" i="39" s="1"/>
  <c r="E52" i="39"/>
  <c r="F52" i="39" s="1"/>
  <c r="E51" i="39"/>
  <c r="F51" i="39" s="1"/>
  <c r="E50" i="39"/>
  <c r="F50" i="39" s="1"/>
  <c r="E49" i="39"/>
  <c r="F49" i="39" s="1"/>
  <c r="E48" i="39"/>
  <c r="F48" i="39" s="1"/>
  <c r="E47" i="39"/>
  <c r="F47" i="39" s="1"/>
  <c r="E46" i="39"/>
  <c r="F46" i="39" s="1"/>
  <c r="E45" i="39"/>
  <c r="F45" i="39" s="1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C7" i="39"/>
  <c r="E7" i="39" s="1"/>
  <c r="F43" i="39" l="1"/>
  <c r="J44" i="54"/>
  <c r="H44" i="54"/>
  <c r="F44" i="54"/>
  <c r="Q8" i="54"/>
  <c r="K8" i="54"/>
  <c r="N8" i="54"/>
  <c r="H8" i="54"/>
  <c r="E8" i="54"/>
  <c r="G15" i="32" l="1"/>
  <c r="G14" i="32"/>
  <c r="O32" i="29"/>
  <c r="O31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16" i="29"/>
  <c r="N15" i="29"/>
  <c r="N14" i="29"/>
  <c r="N13" i="29"/>
  <c r="I9" i="18" l="1"/>
  <c r="H9" i="18"/>
  <c r="G9" i="18"/>
  <c r="E9" i="18"/>
  <c r="D9" i="18"/>
  <c r="C9" i="18"/>
  <c r="D54" i="44"/>
  <c r="D47" i="44"/>
  <c r="E51" i="44" s="1"/>
  <c r="D43" i="44"/>
  <c r="E46" i="44" s="1"/>
  <c r="D37" i="44"/>
  <c r="E42" i="44" s="1"/>
  <c r="D33" i="44"/>
  <c r="E34" i="44" s="1"/>
  <c r="D28" i="44"/>
  <c r="E30" i="44" s="1"/>
  <c r="D23" i="44"/>
  <c r="E26" i="44" s="1"/>
  <c r="D17" i="44"/>
  <c r="E22" i="44" s="1"/>
  <c r="D10" i="44"/>
  <c r="E14" i="44" s="1"/>
  <c r="D5" i="44"/>
  <c r="F34" i="43"/>
  <c r="J34" i="43"/>
  <c r="M34" i="43"/>
  <c r="Q34" i="43" s="1"/>
  <c r="L34" i="43"/>
  <c r="P34" i="43" s="1"/>
  <c r="K34" i="43"/>
  <c r="O34" i="43" s="1"/>
  <c r="F33" i="43"/>
  <c r="J33" i="43"/>
  <c r="M33" i="43"/>
  <c r="Q33" i="43" s="1"/>
  <c r="L33" i="43"/>
  <c r="P33" i="43" s="1"/>
  <c r="F32" i="43"/>
  <c r="J32" i="43"/>
  <c r="M32" i="43"/>
  <c r="Q32" i="43" s="1"/>
  <c r="L32" i="43"/>
  <c r="P32" i="43" s="1"/>
  <c r="K32" i="43"/>
  <c r="O32" i="43" s="1"/>
  <c r="F31" i="43"/>
  <c r="J31" i="43"/>
  <c r="M31" i="43"/>
  <c r="Q31" i="43" s="1"/>
  <c r="L31" i="43"/>
  <c r="P31" i="43" s="1"/>
  <c r="K31" i="43"/>
  <c r="O31" i="43" s="1"/>
  <c r="F30" i="43"/>
  <c r="J30" i="43"/>
  <c r="M30" i="43"/>
  <c r="Q30" i="43" s="1"/>
  <c r="L30" i="43"/>
  <c r="P30" i="43" s="1"/>
  <c r="K30" i="43"/>
  <c r="O30" i="43" s="1"/>
  <c r="F29" i="43"/>
  <c r="J29" i="43"/>
  <c r="M29" i="43"/>
  <c r="Q29" i="43" s="1"/>
  <c r="L29" i="43"/>
  <c r="P29" i="43" s="1"/>
  <c r="F28" i="43"/>
  <c r="J28" i="43"/>
  <c r="M28" i="43"/>
  <c r="Q28" i="43" s="1"/>
  <c r="L28" i="43"/>
  <c r="P28" i="43" s="1"/>
  <c r="K28" i="43"/>
  <c r="O28" i="43" s="1"/>
  <c r="F27" i="43"/>
  <c r="J27" i="43"/>
  <c r="M27" i="43"/>
  <c r="Q27" i="43" s="1"/>
  <c r="L27" i="43"/>
  <c r="P27" i="43" s="1"/>
  <c r="K27" i="43"/>
  <c r="O27" i="43" s="1"/>
  <c r="F26" i="43"/>
  <c r="J26" i="43"/>
  <c r="M26" i="43"/>
  <c r="Q26" i="43" s="1"/>
  <c r="L26" i="43"/>
  <c r="P26" i="43" s="1"/>
  <c r="K26" i="43"/>
  <c r="O26" i="43" s="1"/>
  <c r="F25" i="43"/>
  <c r="J25" i="43"/>
  <c r="M25" i="43"/>
  <c r="Q25" i="43" s="1"/>
  <c r="L25" i="43"/>
  <c r="P25" i="43" s="1"/>
  <c r="F24" i="43"/>
  <c r="J24" i="43"/>
  <c r="M24" i="43"/>
  <c r="Q24" i="43" s="1"/>
  <c r="L24" i="43"/>
  <c r="P24" i="43" s="1"/>
  <c r="K24" i="43"/>
  <c r="O24" i="43" s="1"/>
  <c r="F23" i="43"/>
  <c r="J23" i="43"/>
  <c r="M23" i="43"/>
  <c r="Q23" i="43" s="1"/>
  <c r="L23" i="43"/>
  <c r="P23" i="43" s="1"/>
  <c r="K23" i="43"/>
  <c r="O23" i="43" s="1"/>
  <c r="F22" i="43"/>
  <c r="J22" i="43"/>
  <c r="M22" i="43"/>
  <c r="Q22" i="43" s="1"/>
  <c r="L22" i="43"/>
  <c r="P22" i="43" s="1"/>
  <c r="K22" i="43"/>
  <c r="O22" i="43" s="1"/>
  <c r="F21" i="43"/>
  <c r="J21" i="43"/>
  <c r="M21" i="43"/>
  <c r="Q21" i="43" s="1"/>
  <c r="L21" i="43"/>
  <c r="P21" i="43" s="1"/>
  <c r="F20" i="43"/>
  <c r="J20" i="43"/>
  <c r="M20" i="43"/>
  <c r="Q20" i="43" s="1"/>
  <c r="L20" i="43"/>
  <c r="P20" i="43" s="1"/>
  <c r="K20" i="43"/>
  <c r="O20" i="43" s="1"/>
  <c r="F19" i="43"/>
  <c r="J19" i="43"/>
  <c r="M19" i="43"/>
  <c r="Q19" i="43" s="1"/>
  <c r="L19" i="43"/>
  <c r="P19" i="43" s="1"/>
  <c r="K19" i="43"/>
  <c r="O19" i="43" s="1"/>
  <c r="F18" i="43"/>
  <c r="J18" i="43"/>
  <c r="M18" i="43"/>
  <c r="Q18" i="43" s="1"/>
  <c r="L18" i="43"/>
  <c r="P18" i="43" s="1"/>
  <c r="K18" i="43"/>
  <c r="O18" i="43" s="1"/>
  <c r="F17" i="43"/>
  <c r="J17" i="43"/>
  <c r="M17" i="43"/>
  <c r="Q17" i="43" s="1"/>
  <c r="L17" i="43"/>
  <c r="P17" i="43" s="1"/>
  <c r="F16" i="43"/>
  <c r="J16" i="43"/>
  <c r="M16" i="43"/>
  <c r="Q16" i="43" s="1"/>
  <c r="L16" i="43"/>
  <c r="P16" i="43" s="1"/>
  <c r="K16" i="43"/>
  <c r="O16" i="43" s="1"/>
  <c r="F15" i="43"/>
  <c r="J15" i="43"/>
  <c r="M15" i="43"/>
  <c r="Q15" i="43" s="1"/>
  <c r="L15" i="43"/>
  <c r="P15" i="43" s="1"/>
  <c r="K15" i="43"/>
  <c r="O15" i="43" s="1"/>
  <c r="F14" i="43"/>
  <c r="M14" i="43"/>
  <c r="Q14" i="43" s="1"/>
  <c r="L14" i="43"/>
  <c r="K14" i="43"/>
  <c r="O14" i="43" s="1"/>
  <c r="J13" i="43"/>
  <c r="M13" i="43"/>
  <c r="Q13" i="43" s="1"/>
  <c r="L13" i="43"/>
  <c r="P13" i="43" s="1"/>
  <c r="J12" i="43"/>
  <c r="M12" i="43"/>
  <c r="Q12" i="43" s="1"/>
  <c r="L12" i="43"/>
  <c r="P12" i="43" s="1"/>
  <c r="K12" i="43"/>
  <c r="J11" i="43"/>
  <c r="M11" i="43"/>
  <c r="P11" i="43"/>
  <c r="J10" i="43"/>
  <c r="L10" i="43"/>
  <c r="P10" i="43" s="1"/>
  <c r="AM9" i="43"/>
  <c r="AL9" i="43"/>
  <c r="AK9" i="43"/>
  <c r="AJ9" i="43"/>
  <c r="AI9" i="43"/>
  <c r="AH9" i="43"/>
  <c r="Z9" i="43"/>
  <c r="Y9" i="43"/>
  <c r="X9" i="43"/>
  <c r="W9" i="43"/>
  <c r="V9" i="43"/>
  <c r="U9" i="43"/>
  <c r="D9" i="43"/>
  <c r="R31" i="17"/>
  <c r="Q31" i="17"/>
  <c r="R30" i="17"/>
  <c r="Q30" i="17"/>
  <c r="R29" i="17"/>
  <c r="Q29" i="17"/>
  <c r="R28" i="17"/>
  <c r="Q28" i="17"/>
  <c r="R27" i="17"/>
  <c r="Q27" i="17"/>
  <c r="R26" i="17"/>
  <c r="Q26" i="17"/>
  <c r="R25" i="17"/>
  <c r="Q25" i="17"/>
  <c r="R24" i="17"/>
  <c r="Q24" i="17"/>
  <c r="R23" i="17"/>
  <c r="Q23" i="17"/>
  <c r="R22" i="17"/>
  <c r="Q22" i="17"/>
  <c r="R21" i="17"/>
  <c r="Q21" i="17"/>
  <c r="R20" i="17"/>
  <c r="Q20" i="17"/>
  <c r="R19" i="17"/>
  <c r="Q19" i="17"/>
  <c r="R18" i="17"/>
  <c r="R17" i="17"/>
  <c r="Q17" i="17"/>
  <c r="R16" i="17"/>
  <c r="Q16" i="17"/>
  <c r="R15" i="17"/>
  <c r="Q15" i="17"/>
  <c r="R14" i="17"/>
  <c r="Q14" i="17"/>
  <c r="R13" i="17"/>
  <c r="Q13" i="17"/>
  <c r="Q12" i="17"/>
  <c r="F9" i="17"/>
  <c r="F35" i="17" s="1"/>
  <c r="D9" i="17"/>
  <c r="C9" i="17"/>
  <c r="D55" i="42"/>
  <c r="E56" i="42" s="1"/>
  <c r="D48" i="42"/>
  <c r="E54" i="42" s="1"/>
  <c r="D44" i="42"/>
  <c r="E46" i="42" s="1"/>
  <c r="D38" i="42"/>
  <c r="E42" i="42" s="1"/>
  <c r="D34" i="42"/>
  <c r="E35" i="42" s="1"/>
  <c r="D29" i="42"/>
  <c r="E30" i="42" s="1"/>
  <c r="D24" i="42"/>
  <c r="E26" i="42" s="1"/>
  <c r="D18" i="42"/>
  <c r="E22" i="42" s="1"/>
  <c r="D11" i="42"/>
  <c r="D6" i="42"/>
  <c r="C68" i="39"/>
  <c r="D68" i="39" s="1"/>
  <c r="K32" i="39"/>
  <c r="H32" i="39"/>
  <c r="C67" i="39"/>
  <c r="D67" i="39" s="1"/>
  <c r="K31" i="39"/>
  <c r="H31" i="39"/>
  <c r="C66" i="39"/>
  <c r="D66" i="39" s="1"/>
  <c r="K30" i="39"/>
  <c r="H30" i="39"/>
  <c r="C65" i="39"/>
  <c r="D65" i="39" s="1"/>
  <c r="K29" i="39"/>
  <c r="H29" i="39"/>
  <c r="C64" i="39"/>
  <c r="D64" i="39" s="1"/>
  <c r="K28" i="39"/>
  <c r="H28" i="39"/>
  <c r="C63" i="39"/>
  <c r="D63" i="39" s="1"/>
  <c r="K27" i="39"/>
  <c r="H27" i="39"/>
  <c r="C62" i="39"/>
  <c r="D62" i="39" s="1"/>
  <c r="K26" i="39"/>
  <c r="H26" i="39"/>
  <c r="C61" i="39"/>
  <c r="D61" i="39" s="1"/>
  <c r="K25" i="39"/>
  <c r="H25" i="39"/>
  <c r="C60" i="39"/>
  <c r="D60" i="39" s="1"/>
  <c r="K24" i="39"/>
  <c r="H24" i="39"/>
  <c r="C59" i="39"/>
  <c r="D59" i="39" s="1"/>
  <c r="K23" i="39"/>
  <c r="H23" i="39"/>
  <c r="C58" i="39"/>
  <c r="D58" i="39" s="1"/>
  <c r="K22" i="39"/>
  <c r="H22" i="39"/>
  <c r="C57" i="39"/>
  <c r="D57" i="39" s="1"/>
  <c r="K21" i="39"/>
  <c r="H21" i="39"/>
  <c r="C56" i="39"/>
  <c r="D56" i="39" s="1"/>
  <c r="K20" i="39"/>
  <c r="H20" i="39"/>
  <c r="C55" i="39"/>
  <c r="D55" i="39" s="1"/>
  <c r="K19" i="39"/>
  <c r="H19" i="39"/>
  <c r="C54" i="39"/>
  <c r="D54" i="39" s="1"/>
  <c r="K18" i="39"/>
  <c r="H18" i="39"/>
  <c r="C53" i="39"/>
  <c r="D53" i="39" s="1"/>
  <c r="K17" i="39"/>
  <c r="H17" i="39"/>
  <c r="C52" i="39"/>
  <c r="D52" i="39" s="1"/>
  <c r="H16" i="39"/>
  <c r="C51" i="39"/>
  <c r="D51" i="39" s="1"/>
  <c r="K15" i="39"/>
  <c r="H15" i="39"/>
  <c r="C50" i="39"/>
  <c r="D50" i="39" s="1"/>
  <c r="K14" i="39"/>
  <c r="H14" i="39"/>
  <c r="C49" i="39"/>
  <c r="D49" i="39" s="1"/>
  <c r="K13" i="39"/>
  <c r="H13" i="39"/>
  <c r="C48" i="39"/>
  <c r="D48" i="39" s="1"/>
  <c r="K12" i="39"/>
  <c r="H12" i="39"/>
  <c r="C47" i="39"/>
  <c r="D47" i="39" s="1"/>
  <c r="K11" i="39"/>
  <c r="H11" i="39"/>
  <c r="C46" i="39"/>
  <c r="D46" i="39" s="1"/>
  <c r="K10" i="39"/>
  <c r="H10" i="39"/>
  <c r="C45" i="39"/>
  <c r="D45" i="39" s="1"/>
  <c r="K9" i="39"/>
  <c r="H9" i="39"/>
  <c r="C44" i="39"/>
  <c r="D44" i="39" s="1"/>
  <c r="K8" i="39"/>
  <c r="H8" i="39"/>
  <c r="N33" i="40"/>
  <c r="J33" i="40"/>
  <c r="H33" i="40"/>
  <c r="I33" i="40"/>
  <c r="N32" i="40"/>
  <c r="J32" i="40"/>
  <c r="H32" i="40"/>
  <c r="E32" i="40"/>
  <c r="N31" i="40"/>
  <c r="J31" i="40"/>
  <c r="H31" i="40"/>
  <c r="E31" i="40"/>
  <c r="N30" i="40"/>
  <c r="J30" i="40"/>
  <c r="H30" i="40"/>
  <c r="I30" i="40"/>
  <c r="N29" i="40"/>
  <c r="J29" i="40"/>
  <c r="H29" i="40"/>
  <c r="I29" i="40"/>
  <c r="N28" i="40"/>
  <c r="J28" i="40"/>
  <c r="H28" i="40"/>
  <c r="E28" i="40"/>
  <c r="N27" i="40"/>
  <c r="J27" i="40"/>
  <c r="H27" i="40"/>
  <c r="E27" i="40"/>
  <c r="N26" i="40"/>
  <c r="J26" i="40"/>
  <c r="H26" i="40"/>
  <c r="E26" i="40"/>
  <c r="N25" i="40"/>
  <c r="J25" i="40"/>
  <c r="H25" i="40"/>
  <c r="I25" i="40"/>
  <c r="N24" i="40"/>
  <c r="J24" i="40"/>
  <c r="H24" i="40"/>
  <c r="I24" i="40"/>
  <c r="N23" i="40"/>
  <c r="J23" i="40"/>
  <c r="H23" i="40"/>
  <c r="E23" i="40"/>
  <c r="N22" i="40"/>
  <c r="J22" i="40"/>
  <c r="H22" i="40"/>
  <c r="E22" i="40"/>
  <c r="N21" i="40"/>
  <c r="J21" i="40"/>
  <c r="H21" i="40"/>
  <c r="I21" i="40"/>
  <c r="N20" i="40"/>
  <c r="J20" i="40"/>
  <c r="H20" i="40"/>
  <c r="E20" i="40"/>
  <c r="N19" i="40"/>
  <c r="J19" i="40"/>
  <c r="H19" i="40"/>
  <c r="E19" i="40"/>
  <c r="N18" i="40"/>
  <c r="J18" i="40"/>
  <c r="H18" i="40"/>
  <c r="E18" i="40"/>
  <c r="N17" i="40"/>
  <c r="J17" i="40"/>
  <c r="H17" i="40"/>
  <c r="I17" i="40"/>
  <c r="N16" i="40"/>
  <c r="J16" i="40"/>
  <c r="H16" i="40"/>
  <c r="E16" i="40"/>
  <c r="N15" i="40"/>
  <c r="J15" i="40"/>
  <c r="H15" i="40"/>
  <c r="E15" i="40"/>
  <c r="N14" i="40"/>
  <c r="J14" i="40"/>
  <c r="H14" i="40"/>
  <c r="I14" i="40"/>
  <c r="N13" i="40"/>
  <c r="J13" i="40"/>
  <c r="H13" i="40"/>
  <c r="I13" i="40"/>
  <c r="N12" i="40"/>
  <c r="J12" i="40"/>
  <c r="H12" i="40"/>
  <c r="E12" i="40"/>
  <c r="N11" i="40"/>
  <c r="J11" i="40"/>
  <c r="H11" i="40"/>
  <c r="E11" i="40"/>
  <c r="N10" i="40"/>
  <c r="J10" i="40"/>
  <c r="H10" i="40"/>
  <c r="N9" i="40"/>
  <c r="H9" i="40"/>
  <c r="M8" i="40"/>
  <c r="L8" i="40"/>
  <c r="G8" i="40"/>
  <c r="H8" i="40" s="1"/>
  <c r="M34" i="37"/>
  <c r="N34" i="37" s="1"/>
  <c r="K34" i="37"/>
  <c r="L34" i="37" s="1"/>
  <c r="F34" i="37"/>
  <c r="D34" i="37"/>
  <c r="M33" i="37"/>
  <c r="N33" i="37" s="1"/>
  <c r="K33" i="37"/>
  <c r="L33" i="37" s="1"/>
  <c r="F33" i="37"/>
  <c r="D33" i="37"/>
  <c r="M32" i="37"/>
  <c r="N32" i="37" s="1"/>
  <c r="K32" i="37"/>
  <c r="L32" i="37" s="1"/>
  <c r="F32" i="37"/>
  <c r="D32" i="37"/>
  <c r="K31" i="37"/>
  <c r="L31" i="37" s="1"/>
  <c r="F31" i="37"/>
  <c r="D31" i="37"/>
  <c r="K30" i="37"/>
  <c r="L30" i="37" s="1"/>
  <c r="F30" i="37"/>
  <c r="F29" i="37"/>
  <c r="M28" i="37"/>
  <c r="N28" i="37" s="1"/>
  <c r="K28" i="37"/>
  <c r="L28" i="37" s="1"/>
  <c r="F28" i="37"/>
  <c r="D28" i="37"/>
  <c r="M27" i="37"/>
  <c r="N27" i="37" s="1"/>
  <c r="F27" i="37"/>
  <c r="D27" i="37"/>
  <c r="P30" i="37" s="1"/>
  <c r="M17" i="37"/>
  <c r="N17" i="37" s="1"/>
  <c r="K17" i="37"/>
  <c r="L17" i="37" s="1"/>
  <c r="J17" i="37"/>
  <c r="H17" i="37"/>
  <c r="F17" i="37"/>
  <c r="M16" i="37"/>
  <c r="N16" i="37" s="1"/>
  <c r="K16" i="37"/>
  <c r="L16" i="37" s="1"/>
  <c r="J16" i="37"/>
  <c r="H16" i="37"/>
  <c r="F16" i="37"/>
  <c r="M15" i="37"/>
  <c r="N15" i="37" s="1"/>
  <c r="K15" i="37"/>
  <c r="L15" i="37" s="1"/>
  <c r="J15" i="37"/>
  <c r="H15" i="37"/>
  <c r="F15" i="37"/>
  <c r="M14" i="37"/>
  <c r="N14" i="37" s="1"/>
  <c r="K14" i="37"/>
  <c r="L14" i="37" s="1"/>
  <c r="J14" i="37"/>
  <c r="H14" i="37"/>
  <c r="F14" i="37"/>
  <c r="M13" i="37"/>
  <c r="N13" i="37" s="1"/>
  <c r="J13" i="37"/>
  <c r="F13" i="37"/>
  <c r="J12" i="37"/>
  <c r="M11" i="37"/>
  <c r="N11" i="37" s="1"/>
  <c r="K11" i="37"/>
  <c r="L11" i="37" s="1"/>
  <c r="J11" i="37"/>
  <c r="H11" i="37"/>
  <c r="F11" i="37"/>
  <c r="M10" i="37"/>
  <c r="N10" i="37" s="1"/>
  <c r="J10" i="37"/>
  <c r="F10" i="37"/>
  <c r="M8" i="37"/>
  <c r="N8" i="37" s="1"/>
  <c r="L8" i="37"/>
  <c r="N26" i="12"/>
  <c r="L26" i="12"/>
  <c r="F22" i="12"/>
  <c r="D23" i="12"/>
  <c r="H34" i="32"/>
  <c r="G34" i="32"/>
  <c r="H33" i="32"/>
  <c r="G33" i="32"/>
  <c r="H32" i="32"/>
  <c r="G32" i="32"/>
  <c r="H31" i="32"/>
  <c r="G31" i="32"/>
  <c r="H30" i="32"/>
  <c r="G30" i="32"/>
  <c r="H29" i="32"/>
  <c r="G29" i="32"/>
  <c r="H28" i="32"/>
  <c r="G28" i="32"/>
  <c r="H27" i="32"/>
  <c r="G27" i="32"/>
  <c r="H26" i="32"/>
  <c r="G26" i="32"/>
  <c r="H25" i="32"/>
  <c r="G25" i="32"/>
  <c r="H24" i="32"/>
  <c r="G24" i="32"/>
  <c r="H23" i="32"/>
  <c r="G23" i="32"/>
  <c r="H22" i="32"/>
  <c r="G22" i="32"/>
  <c r="H21" i="32"/>
  <c r="G21" i="32"/>
  <c r="H20" i="32"/>
  <c r="G20" i="32"/>
  <c r="H19" i="32"/>
  <c r="G19" i="32"/>
  <c r="H18" i="32"/>
  <c r="G18" i="32"/>
  <c r="H17" i="32"/>
  <c r="G17" i="32"/>
  <c r="H16" i="32"/>
  <c r="G16" i="32"/>
  <c r="H15" i="32"/>
  <c r="H14" i="32"/>
  <c r="H13" i="32"/>
  <c r="G13" i="32"/>
  <c r="H12" i="32"/>
  <c r="G12" i="32"/>
  <c r="H11" i="32"/>
  <c r="G11" i="32"/>
  <c r="H10" i="32"/>
  <c r="G10" i="32"/>
  <c r="K32" i="29"/>
  <c r="L32" i="29" s="1"/>
  <c r="I32" i="29"/>
  <c r="J32" i="29" s="1"/>
  <c r="H32" i="29"/>
  <c r="E32" i="29"/>
  <c r="K31" i="29"/>
  <c r="L31" i="29" s="1"/>
  <c r="I31" i="29"/>
  <c r="J31" i="29" s="1"/>
  <c r="H31" i="29"/>
  <c r="E31" i="29"/>
  <c r="K30" i="29"/>
  <c r="L30" i="29" s="1"/>
  <c r="I30" i="29"/>
  <c r="J30" i="29" s="1"/>
  <c r="H30" i="29"/>
  <c r="E30" i="29"/>
  <c r="K29" i="29"/>
  <c r="L29" i="29" s="1"/>
  <c r="I29" i="29"/>
  <c r="J29" i="29" s="1"/>
  <c r="H29" i="29"/>
  <c r="E29" i="29"/>
  <c r="K28" i="29"/>
  <c r="L28" i="29" s="1"/>
  <c r="I28" i="29"/>
  <c r="J28" i="29" s="1"/>
  <c r="H28" i="29"/>
  <c r="E28" i="29"/>
  <c r="K27" i="29"/>
  <c r="L27" i="29" s="1"/>
  <c r="I27" i="29"/>
  <c r="J27" i="29" s="1"/>
  <c r="H27" i="29"/>
  <c r="E27" i="29"/>
  <c r="K26" i="29"/>
  <c r="L26" i="29" s="1"/>
  <c r="I26" i="29"/>
  <c r="J26" i="29" s="1"/>
  <c r="H26" i="29"/>
  <c r="E26" i="29"/>
  <c r="K25" i="29"/>
  <c r="L25" i="29" s="1"/>
  <c r="I25" i="29"/>
  <c r="J25" i="29" s="1"/>
  <c r="H25" i="29"/>
  <c r="E25" i="29"/>
  <c r="K24" i="29"/>
  <c r="L24" i="29" s="1"/>
  <c r="I24" i="29"/>
  <c r="J24" i="29" s="1"/>
  <c r="H24" i="29"/>
  <c r="E24" i="29"/>
  <c r="K23" i="29"/>
  <c r="L23" i="29" s="1"/>
  <c r="I23" i="29"/>
  <c r="J23" i="29" s="1"/>
  <c r="H23" i="29"/>
  <c r="E23" i="29"/>
  <c r="K22" i="29"/>
  <c r="L22" i="29" s="1"/>
  <c r="I22" i="29"/>
  <c r="J22" i="29" s="1"/>
  <c r="H22" i="29"/>
  <c r="E22" i="29"/>
  <c r="K21" i="29"/>
  <c r="L21" i="29" s="1"/>
  <c r="I21" i="29"/>
  <c r="J21" i="29" s="1"/>
  <c r="H21" i="29"/>
  <c r="E21" i="29"/>
  <c r="K20" i="29"/>
  <c r="L20" i="29" s="1"/>
  <c r="I20" i="29"/>
  <c r="J20" i="29" s="1"/>
  <c r="H20" i="29"/>
  <c r="E20" i="29"/>
  <c r="K19" i="29"/>
  <c r="L19" i="29" s="1"/>
  <c r="I19" i="29"/>
  <c r="J19" i="29" s="1"/>
  <c r="H19" i="29"/>
  <c r="E19" i="29"/>
  <c r="K18" i="29"/>
  <c r="L18" i="29" s="1"/>
  <c r="I18" i="29"/>
  <c r="J18" i="29" s="1"/>
  <c r="H18" i="29"/>
  <c r="E18" i="29"/>
  <c r="K17" i="29"/>
  <c r="L17" i="29" s="1"/>
  <c r="I17" i="29"/>
  <c r="J17" i="29" s="1"/>
  <c r="H17" i="29"/>
  <c r="E17" i="29"/>
  <c r="K16" i="29"/>
  <c r="L16" i="29" s="1"/>
  <c r="I16" i="29"/>
  <c r="J16" i="29" s="1"/>
  <c r="H16" i="29"/>
  <c r="E16" i="29"/>
  <c r="K15" i="29"/>
  <c r="L15" i="29" s="1"/>
  <c r="I15" i="29"/>
  <c r="J15" i="29" s="1"/>
  <c r="H15" i="29"/>
  <c r="E15" i="29"/>
  <c r="K14" i="29"/>
  <c r="L14" i="29" s="1"/>
  <c r="I14" i="29"/>
  <c r="J14" i="29" s="1"/>
  <c r="H14" i="29"/>
  <c r="E14" i="29"/>
  <c r="K13" i="29"/>
  <c r="L13" i="29" s="1"/>
  <c r="I13" i="29"/>
  <c r="J13" i="29" s="1"/>
  <c r="H13" i="29"/>
  <c r="E13" i="29"/>
  <c r="K12" i="29"/>
  <c r="L12" i="29" s="1"/>
  <c r="I12" i="29"/>
  <c r="J12" i="29" s="1"/>
  <c r="H12" i="29"/>
  <c r="E12" i="29"/>
  <c r="K11" i="29"/>
  <c r="L11" i="29" s="1"/>
  <c r="I11" i="29"/>
  <c r="J11" i="29" s="1"/>
  <c r="H11" i="29"/>
  <c r="E11" i="29"/>
  <c r="K10" i="29"/>
  <c r="L10" i="29" s="1"/>
  <c r="I10" i="29"/>
  <c r="J10" i="29" s="1"/>
  <c r="H10" i="29"/>
  <c r="E10" i="29"/>
  <c r="K9" i="29"/>
  <c r="L9" i="29" s="1"/>
  <c r="I9" i="29"/>
  <c r="J9" i="29" s="1"/>
  <c r="H9" i="29"/>
  <c r="E9" i="29"/>
  <c r="K8" i="29"/>
  <c r="L8" i="29" s="1"/>
  <c r="I8" i="29"/>
  <c r="J8" i="29" s="1"/>
  <c r="H8" i="29"/>
  <c r="E8" i="29"/>
  <c r="G7" i="29"/>
  <c r="F7" i="29"/>
  <c r="D7" i="29"/>
  <c r="C7" i="29"/>
  <c r="H13" i="31"/>
  <c r="G13" i="31"/>
  <c r="F13" i="31"/>
  <c r="D13" i="31"/>
  <c r="H12" i="31"/>
  <c r="G12" i="31"/>
  <c r="F12" i="31"/>
  <c r="D12" i="31"/>
  <c r="H11" i="31"/>
  <c r="F11" i="31"/>
  <c r="D11" i="31"/>
  <c r="G9" i="31"/>
  <c r="H8" i="31"/>
  <c r="F8" i="31"/>
  <c r="D8" i="31"/>
  <c r="H7" i="31"/>
  <c r="G42" i="27"/>
  <c r="F42" i="27"/>
  <c r="D42" i="27"/>
  <c r="G41" i="27"/>
  <c r="F41" i="27"/>
  <c r="D41" i="27"/>
  <c r="G40" i="27"/>
  <c r="F40" i="27"/>
  <c r="D40" i="27"/>
  <c r="G39" i="27"/>
  <c r="F39" i="27"/>
  <c r="D39" i="27"/>
  <c r="G38" i="27"/>
  <c r="F38" i="27"/>
  <c r="D38" i="27"/>
  <c r="G37" i="27"/>
  <c r="F37" i="27"/>
  <c r="D37" i="27"/>
  <c r="G36" i="27"/>
  <c r="F36" i="27"/>
  <c r="D36" i="27"/>
  <c r="G35" i="27"/>
  <c r="F35" i="27"/>
  <c r="D35" i="27"/>
  <c r="F34" i="27"/>
  <c r="G33" i="27"/>
  <c r="F33" i="27"/>
  <c r="D33" i="27"/>
  <c r="G32" i="27"/>
  <c r="F32" i="27"/>
  <c r="D32" i="27"/>
  <c r="G31" i="27"/>
  <c r="F31" i="27"/>
  <c r="D31" i="27"/>
  <c r="G30" i="27"/>
  <c r="F30" i="27"/>
  <c r="D30" i="27"/>
  <c r="G29" i="27"/>
  <c r="F29" i="27"/>
  <c r="D29" i="27"/>
  <c r="G28" i="27"/>
  <c r="F28" i="27"/>
  <c r="D28" i="27"/>
  <c r="G27" i="27"/>
  <c r="D27" i="27"/>
  <c r="G26" i="27"/>
  <c r="F26" i="27"/>
  <c r="D26" i="27"/>
  <c r="D25" i="27"/>
  <c r="G24" i="27"/>
  <c r="F24" i="27"/>
  <c r="D24" i="27"/>
  <c r="G23" i="27"/>
  <c r="F23" i="27"/>
  <c r="D23" i="27"/>
  <c r="G22" i="27"/>
  <c r="F22" i="27"/>
  <c r="D22" i="27"/>
  <c r="G21" i="27"/>
  <c r="F21" i="27"/>
  <c r="D21" i="27"/>
  <c r="G20" i="27"/>
  <c r="F20" i="27"/>
  <c r="D20" i="27"/>
  <c r="G19" i="27"/>
  <c r="F19" i="27"/>
  <c r="D19" i="27"/>
  <c r="G18" i="27"/>
  <c r="D18" i="27"/>
  <c r="G17" i="27"/>
  <c r="F17" i="27"/>
  <c r="D17" i="27"/>
  <c r="G16" i="27"/>
  <c r="F16" i="27"/>
  <c r="D16" i="27"/>
  <c r="G15" i="27"/>
  <c r="F15" i="27"/>
  <c r="D15" i="27"/>
  <c r="G14" i="27"/>
  <c r="F14" i="27"/>
  <c r="D14" i="27"/>
  <c r="G13" i="27"/>
  <c r="F13" i="27"/>
  <c r="D13" i="27"/>
  <c r="G11" i="27"/>
  <c r="D11" i="27"/>
  <c r="G10" i="27"/>
  <c r="D10" i="27"/>
  <c r="G6" i="27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D8" i="28"/>
  <c r="C8" i="28"/>
  <c r="J16" i="6"/>
  <c r="F16" i="6"/>
  <c r="D16" i="6"/>
  <c r="J15" i="6"/>
  <c r="F15" i="6"/>
  <c r="D15" i="6"/>
  <c r="J14" i="6"/>
  <c r="F14" i="6"/>
  <c r="D14" i="6"/>
  <c r="J13" i="6"/>
  <c r="F13" i="6"/>
  <c r="D13" i="6"/>
  <c r="J12" i="6"/>
  <c r="F12" i="6"/>
  <c r="D12" i="6"/>
  <c r="F10" i="6"/>
  <c r="D10" i="6"/>
  <c r="F9" i="6"/>
  <c r="D9" i="6"/>
  <c r="H30" i="2"/>
  <c r="H29" i="2"/>
  <c r="H28" i="2"/>
  <c r="H27" i="2"/>
  <c r="H26" i="2"/>
  <c r="H25" i="2"/>
  <c r="N25" i="2"/>
  <c r="H24" i="2"/>
  <c r="H23" i="2"/>
  <c r="H22" i="2"/>
  <c r="N22" i="2"/>
  <c r="H21" i="2"/>
  <c r="H20" i="2"/>
  <c r="H19" i="2"/>
  <c r="N19" i="2"/>
  <c r="H18" i="2"/>
  <c r="H17" i="2"/>
  <c r="H16" i="2"/>
  <c r="N16" i="2"/>
  <c r="H15" i="2"/>
  <c r="H14" i="2"/>
  <c r="N12" i="2"/>
  <c r="H11" i="2"/>
  <c r="E8" i="28" l="1"/>
  <c r="I8" i="28" s="1"/>
  <c r="J8" i="28"/>
  <c r="D61" i="42"/>
  <c r="F18" i="6"/>
  <c r="J18" i="6"/>
  <c r="D7" i="6"/>
  <c r="F7" i="6"/>
  <c r="F20" i="6"/>
  <c r="E5" i="2"/>
  <c r="K31" i="2" s="1"/>
  <c r="D59" i="44"/>
  <c r="D60" i="44" s="1"/>
  <c r="E58" i="44" s="1"/>
  <c r="O12" i="43"/>
  <c r="Q11" i="43"/>
  <c r="M9" i="43"/>
  <c r="Q9" i="43" s="1"/>
  <c r="N10" i="43"/>
  <c r="R10" i="43" s="1"/>
  <c r="E7" i="29"/>
  <c r="I7" i="29"/>
  <c r="J7" i="29" s="1"/>
  <c r="N28" i="2"/>
  <c r="N13" i="2"/>
  <c r="N29" i="2"/>
  <c r="N17" i="2"/>
  <c r="N26" i="2"/>
  <c r="N23" i="2"/>
  <c r="N8" i="2"/>
  <c r="N9" i="2"/>
  <c r="N7" i="2"/>
  <c r="N20" i="2"/>
  <c r="N14" i="2"/>
  <c r="N18" i="2"/>
  <c r="N24" i="2"/>
  <c r="N30" i="2"/>
  <c r="N10" i="2"/>
  <c r="N27" i="2"/>
  <c r="N15" i="2"/>
  <c r="N21" i="2"/>
  <c r="N11" i="2"/>
  <c r="D65" i="42"/>
  <c r="J11" i="32"/>
  <c r="J8" i="40"/>
  <c r="E15" i="42"/>
  <c r="N9" i="3"/>
  <c r="M9" i="3"/>
  <c r="N13" i="3"/>
  <c r="M13" i="3"/>
  <c r="N17" i="3"/>
  <c r="M17" i="3"/>
  <c r="N21" i="3"/>
  <c r="M21" i="3"/>
  <c r="M25" i="3"/>
  <c r="N25" i="3"/>
  <c r="N10" i="3"/>
  <c r="M10" i="3"/>
  <c r="N14" i="3"/>
  <c r="M14" i="3"/>
  <c r="N18" i="3"/>
  <c r="M18" i="3"/>
  <c r="N22" i="3"/>
  <c r="M22" i="3"/>
  <c r="M26" i="3"/>
  <c r="N26" i="3"/>
  <c r="N11" i="3"/>
  <c r="M11" i="3"/>
  <c r="N15" i="3"/>
  <c r="M15" i="3"/>
  <c r="N19" i="3"/>
  <c r="M19" i="3"/>
  <c r="N23" i="3"/>
  <c r="M23" i="3"/>
  <c r="N27" i="3"/>
  <c r="M27" i="3"/>
  <c r="N8" i="3"/>
  <c r="N12" i="3"/>
  <c r="M12" i="3"/>
  <c r="N16" i="3"/>
  <c r="M16" i="3"/>
  <c r="N20" i="3"/>
  <c r="M20" i="3"/>
  <c r="M24" i="3"/>
  <c r="N24" i="3"/>
  <c r="M28" i="3"/>
  <c r="N28" i="3"/>
  <c r="C8" i="40"/>
  <c r="E57" i="42"/>
  <c r="E58" i="42"/>
  <c r="E10" i="42"/>
  <c r="E8" i="42"/>
  <c r="E7" i="42"/>
  <c r="E9" i="42"/>
  <c r="J34" i="37"/>
  <c r="J14" i="32"/>
  <c r="J10" i="32"/>
  <c r="J12" i="32"/>
  <c r="J15" i="32"/>
  <c r="J19" i="32"/>
  <c r="J21" i="32"/>
  <c r="J23" i="32"/>
  <c r="J25" i="32"/>
  <c r="J27" i="32"/>
  <c r="J29" i="32"/>
  <c r="J33" i="32"/>
  <c r="J17" i="32"/>
  <c r="J31" i="32"/>
  <c r="J13" i="32"/>
  <c r="J16" i="32"/>
  <c r="J18" i="32"/>
  <c r="J20" i="32"/>
  <c r="J22" i="32"/>
  <c r="J24" i="32"/>
  <c r="J26" i="32"/>
  <c r="J28" i="32"/>
  <c r="J30" i="32"/>
  <c r="J32" i="32"/>
  <c r="J34" i="32"/>
  <c r="H16" i="6"/>
  <c r="K7" i="29"/>
  <c r="L7" i="29" s="1"/>
  <c r="F9" i="31"/>
  <c r="F7" i="31" s="1"/>
  <c r="E37" i="42"/>
  <c r="E36" i="42"/>
  <c r="E8" i="44"/>
  <c r="J31" i="37"/>
  <c r="E48" i="44"/>
  <c r="E50" i="44"/>
  <c r="E52" i="44"/>
  <c r="E53" i="44"/>
  <c r="E49" i="44"/>
  <c r="E45" i="44"/>
  <c r="E44" i="44"/>
  <c r="E40" i="44"/>
  <c r="E41" i="44"/>
  <c r="E39" i="44"/>
  <c r="E38" i="44"/>
  <c r="E36" i="44"/>
  <c r="E35" i="44"/>
  <c r="E29" i="44"/>
  <c r="E31" i="44"/>
  <c r="E32" i="44"/>
  <c r="E27" i="44"/>
  <c r="E25" i="44"/>
  <c r="E24" i="44"/>
  <c r="E19" i="44"/>
  <c r="E20" i="44"/>
  <c r="E21" i="44"/>
  <c r="E18" i="44"/>
  <c r="E16" i="44"/>
  <c r="E13" i="44"/>
  <c r="E12" i="44"/>
  <c r="E11" i="44"/>
  <c r="E15" i="44"/>
  <c r="E9" i="44"/>
  <c r="E7" i="44"/>
  <c r="E6" i="44"/>
  <c r="N17" i="43"/>
  <c r="R17" i="43" s="1"/>
  <c r="N29" i="43"/>
  <c r="R29" i="43" s="1"/>
  <c r="N13" i="43"/>
  <c r="R13" i="43" s="1"/>
  <c r="N21" i="43"/>
  <c r="R21" i="43" s="1"/>
  <c r="N25" i="43"/>
  <c r="R25" i="43" s="1"/>
  <c r="N33" i="43"/>
  <c r="R33" i="43" s="1"/>
  <c r="E49" i="42"/>
  <c r="E51" i="42"/>
  <c r="E52" i="42"/>
  <c r="E53" i="42"/>
  <c r="E50" i="42"/>
  <c r="E47" i="42"/>
  <c r="E45" i="42"/>
  <c r="E41" i="42"/>
  <c r="E40" i="42"/>
  <c r="E39" i="42"/>
  <c r="E43" i="42"/>
  <c r="E32" i="42"/>
  <c r="E31" i="42"/>
  <c r="E33" i="42"/>
  <c r="E27" i="42"/>
  <c r="E28" i="42"/>
  <c r="E25" i="42"/>
  <c r="E21" i="42"/>
  <c r="E20" i="42"/>
  <c r="E19" i="42"/>
  <c r="E23" i="42"/>
  <c r="E14" i="42"/>
  <c r="E12" i="42"/>
  <c r="E17" i="42"/>
  <c r="E16" i="42"/>
  <c r="E13" i="42"/>
  <c r="N8" i="40"/>
  <c r="K10" i="40"/>
  <c r="K13" i="40"/>
  <c r="K14" i="40"/>
  <c r="K17" i="40"/>
  <c r="K21" i="40"/>
  <c r="K24" i="40"/>
  <c r="K25" i="40"/>
  <c r="K29" i="40"/>
  <c r="K30" i="40"/>
  <c r="K33" i="40"/>
  <c r="M31" i="37"/>
  <c r="N31" i="37" s="1"/>
  <c r="H33" i="37"/>
  <c r="J32" i="37"/>
  <c r="M25" i="37"/>
  <c r="N25" i="37" s="1"/>
  <c r="J28" i="37"/>
  <c r="J33" i="37"/>
  <c r="J27" i="37"/>
  <c r="J30" i="37"/>
  <c r="J29" i="37"/>
  <c r="H32" i="37"/>
  <c r="H30" i="37"/>
  <c r="P31" i="37" s="1"/>
  <c r="H34" i="37"/>
  <c r="H28" i="37"/>
  <c r="L25" i="37"/>
  <c r="H31" i="37"/>
  <c r="N20" i="12"/>
  <c r="N21" i="12"/>
  <c r="N25" i="12"/>
  <c r="N24" i="12"/>
  <c r="F23" i="12"/>
  <c r="F21" i="12"/>
  <c r="G8" i="27"/>
  <c r="I20" i="40"/>
  <c r="K20" i="40" s="1"/>
  <c r="I26" i="40"/>
  <c r="K26" i="40" s="1"/>
  <c r="I12" i="40"/>
  <c r="K12" i="40" s="1"/>
  <c r="I28" i="40"/>
  <c r="K28" i="40" s="1"/>
  <c r="I16" i="40"/>
  <c r="K16" i="40" s="1"/>
  <c r="E10" i="40"/>
  <c r="I18" i="40"/>
  <c r="K18" i="40" s="1"/>
  <c r="I22" i="40"/>
  <c r="K22" i="40" s="1"/>
  <c r="I32" i="40"/>
  <c r="K32" i="40" s="1"/>
  <c r="E14" i="40"/>
  <c r="E24" i="40"/>
  <c r="E30" i="40"/>
  <c r="N23" i="12"/>
  <c r="N22" i="12"/>
  <c r="L21" i="12"/>
  <c r="L23" i="12"/>
  <c r="L25" i="12"/>
  <c r="L20" i="12"/>
  <c r="L22" i="12"/>
  <c r="L24" i="12"/>
  <c r="F20" i="12"/>
  <c r="F24" i="12"/>
  <c r="D20" i="12"/>
  <c r="D22" i="12"/>
  <c r="D24" i="12"/>
  <c r="D21" i="12"/>
  <c r="H7" i="29"/>
  <c r="H9" i="31"/>
  <c r="D9" i="31"/>
  <c r="D7" i="31" s="1"/>
  <c r="G34" i="27"/>
  <c r="D34" i="27"/>
  <c r="G25" i="27"/>
  <c r="H9" i="6"/>
  <c r="H12" i="6"/>
  <c r="H14" i="6"/>
  <c r="H15" i="6"/>
  <c r="H13" i="6"/>
  <c r="E9" i="40"/>
  <c r="K11" i="40"/>
  <c r="E13" i="40"/>
  <c r="I15" i="40"/>
  <c r="K15" i="40" s="1"/>
  <c r="E17" i="40"/>
  <c r="I19" i="40"/>
  <c r="K19" i="40" s="1"/>
  <c r="E21" i="40"/>
  <c r="I23" i="40"/>
  <c r="K23" i="40" s="1"/>
  <c r="E25" i="40"/>
  <c r="I27" i="40"/>
  <c r="K27" i="40" s="1"/>
  <c r="E29" i="40"/>
  <c r="I31" i="40"/>
  <c r="K31" i="40" s="1"/>
  <c r="E33" i="40"/>
  <c r="L7" i="2"/>
  <c r="K7" i="2"/>
  <c r="K8" i="2"/>
  <c r="L8" i="2"/>
  <c r="L9" i="2"/>
  <c r="K9" i="2"/>
  <c r="K10" i="2"/>
  <c r="L10" i="2"/>
  <c r="L11" i="2"/>
  <c r="K11" i="2"/>
  <c r="K12" i="2"/>
  <c r="L12" i="2"/>
  <c r="L13" i="2"/>
  <c r="K13" i="2"/>
  <c r="L14" i="2"/>
  <c r="K14" i="2"/>
  <c r="K15" i="2"/>
  <c r="L15" i="2"/>
  <c r="K16" i="2"/>
  <c r="L16" i="2"/>
  <c r="L17" i="2"/>
  <c r="K17" i="2"/>
  <c r="K18" i="2"/>
  <c r="L18" i="2"/>
  <c r="L19" i="2"/>
  <c r="K19" i="2"/>
  <c r="L20" i="2"/>
  <c r="K20" i="2"/>
  <c r="L21" i="2"/>
  <c r="K21" i="2"/>
  <c r="L22" i="2"/>
  <c r="K22" i="2"/>
  <c r="L23" i="2"/>
  <c r="K23" i="2"/>
  <c r="L24" i="2"/>
  <c r="K24" i="2"/>
  <c r="K25" i="2"/>
  <c r="L25" i="2"/>
  <c r="L26" i="2"/>
  <c r="K26" i="2"/>
  <c r="K27" i="2"/>
  <c r="L27" i="2"/>
  <c r="L28" i="2"/>
  <c r="K28" i="2"/>
  <c r="L29" i="2"/>
  <c r="K29" i="2"/>
  <c r="K30" i="2"/>
  <c r="L30" i="2"/>
  <c r="N32" i="43"/>
  <c r="R32" i="43" s="1"/>
  <c r="N27" i="43"/>
  <c r="R27" i="43" s="1"/>
  <c r="I9" i="43"/>
  <c r="N11" i="43"/>
  <c r="R11" i="43" s="1"/>
  <c r="N12" i="43"/>
  <c r="R12" i="43" s="1"/>
  <c r="N15" i="43"/>
  <c r="R15" i="43" s="1"/>
  <c r="N28" i="43"/>
  <c r="R28" i="43" s="1"/>
  <c r="H9" i="43"/>
  <c r="N19" i="43"/>
  <c r="R19" i="43" s="1"/>
  <c r="N20" i="43"/>
  <c r="R20" i="43" s="1"/>
  <c r="N24" i="43"/>
  <c r="R24" i="43" s="1"/>
  <c r="N31" i="43"/>
  <c r="R31" i="43" s="1"/>
  <c r="N16" i="43"/>
  <c r="R16" i="43" s="1"/>
  <c r="N23" i="43"/>
  <c r="R23" i="43" s="1"/>
  <c r="P14" i="43"/>
  <c r="L9" i="43"/>
  <c r="P9" i="43" s="1"/>
  <c r="K17" i="43"/>
  <c r="O17" i="43" s="1"/>
  <c r="K25" i="43"/>
  <c r="O25" i="43" s="1"/>
  <c r="K33" i="43"/>
  <c r="O33" i="43" s="1"/>
  <c r="K13" i="43"/>
  <c r="O13" i="43" s="1"/>
  <c r="K21" i="43"/>
  <c r="O21" i="43" s="1"/>
  <c r="K29" i="43"/>
  <c r="O29" i="43" s="1"/>
  <c r="N18" i="43"/>
  <c r="R18" i="43" s="1"/>
  <c r="N22" i="43"/>
  <c r="R22" i="43" s="1"/>
  <c r="N26" i="43"/>
  <c r="R26" i="43" s="1"/>
  <c r="N30" i="43"/>
  <c r="R30" i="43" s="1"/>
  <c r="N34" i="43"/>
  <c r="R34" i="43" s="1"/>
  <c r="O6" i="2" l="1"/>
  <c r="P6" i="2"/>
  <c r="Q20" i="12"/>
  <c r="H18" i="6"/>
  <c r="H7" i="6"/>
  <c r="H20" i="6"/>
  <c r="O9" i="43"/>
  <c r="N9" i="43"/>
  <c r="R9" i="43" s="1"/>
  <c r="N14" i="43"/>
  <c r="R14" i="43" s="1"/>
  <c r="L10" i="32"/>
  <c r="P22" i="2"/>
  <c r="P21" i="2"/>
  <c r="O14" i="2"/>
  <c r="P20" i="2"/>
  <c r="P19" i="2"/>
  <c r="P30" i="2"/>
  <c r="P29" i="2"/>
  <c r="P17" i="2"/>
  <c r="O30" i="2"/>
  <c r="O18" i="2"/>
  <c r="P16" i="2"/>
  <c r="O29" i="2"/>
  <c r="O17" i="2"/>
  <c r="P15" i="2"/>
  <c r="O28" i="2"/>
  <c r="O16" i="2"/>
  <c r="P14" i="2"/>
  <c r="P28" i="2"/>
  <c r="P27" i="2"/>
  <c r="P26" i="2"/>
  <c r="P25" i="2"/>
  <c r="P13" i="2"/>
  <c r="P24" i="2"/>
  <c r="P12" i="2"/>
  <c r="O25" i="2"/>
  <c r="O13" i="2"/>
  <c r="O23" i="2"/>
  <c r="O11" i="2"/>
  <c r="O22" i="2"/>
  <c r="O10" i="2"/>
  <c r="P8" i="2"/>
  <c r="O9" i="2"/>
  <c r="O20" i="2"/>
  <c r="O8" i="2"/>
  <c r="P18" i="2"/>
  <c r="O7" i="2"/>
  <c r="O27" i="2"/>
  <c r="P23" i="2"/>
  <c r="P11" i="2"/>
  <c r="O24" i="2"/>
  <c r="O12" i="2"/>
  <c r="P10" i="2"/>
  <c r="P9" i="2"/>
  <c r="O21" i="2"/>
  <c r="P7" i="2"/>
  <c r="O19" i="2"/>
  <c r="O15" i="2"/>
  <c r="O26" i="2"/>
  <c r="L16" i="32"/>
  <c r="K31" i="32"/>
  <c r="D5" i="12"/>
  <c r="L19" i="32"/>
  <c r="K24" i="32"/>
  <c r="K26" i="32"/>
  <c r="K17" i="32"/>
  <c r="K12" i="32"/>
  <c r="L33" i="32"/>
  <c r="L11" i="32"/>
  <c r="K15" i="32"/>
  <c r="L24" i="32"/>
  <c r="K33" i="32"/>
  <c r="L18" i="32"/>
  <c r="K23" i="32"/>
  <c r="L32" i="32"/>
  <c r="L21" i="32"/>
  <c r="K18" i="32"/>
  <c r="L27" i="32"/>
  <c r="K32" i="32"/>
  <c r="K25" i="32"/>
  <c r="K22" i="32"/>
  <c r="L15" i="32"/>
  <c r="L31" i="32"/>
  <c r="K19" i="32"/>
  <c r="L12" i="32"/>
  <c r="L28" i="32"/>
  <c r="K16" i="32"/>
  <c r="L17" i="32"/>
  <c r="K13" i="32"/>
  <c r="L26" i="32"/>
  <c r="K20" i="32"/>
  <c r="K30" i="32"/>
  <c r="L23" i="32"/>
  <c r="K11" i="32"/>
  <c r="K27" i="32"/>
  <c r="L20" i="32"/>
  <c r="K14" i="32"/>
  <c r="K28" i="32"/>
  <c r="L25" i="32"/>
  <c r="K34" i="32"/>
  <c r="L34" i="32"/>
  <c r="L13" i="32"/>
  <c r="L22" i="32"/>
  <c r="K10" i="32"/>
  <c r="L30" i="32"/>
  <c r="E11" i="42"/>
  <c r="E59" i="42"/>
  <c r="K29" i="32"/>
  <c r="L29" i="32"/>
  <c r="K21" i="32"/>
  <c r="L14" i="32"/>
  <c r="N18" i="12"/>
  <c r="I8" i="40"/>
  <c r="E28" i="44"/>
  <c r="E37" i="44"/>
  <c r="E17" i="44"/>
  <c r="E43" i="44"/>
  <c r="E54" i="44"/>
  <c r="E10" i="44"/>
  <c r="E33" i="44"/>
  <c r="E47" i="44"/>
  <c r="E5" i="44"/>
  <c r="E23" i="44"/>
  <c r="E34" i="42"/>
  <c r="E55" i="42"/>
  <c r="E44" i="42"/>
  <c r="E38" i="42"/>
  <c r="E29" i="42"/>
  <c r="E18" i="42"/>
  <c r="E24" i="42"/>
  <c r="E48" i="42"/>
  <c r="L18" i="12"/>
  <c r="D18" i="12"/>
  <c r="F18" i="12"/>
  <c r="E8" i="40"/>
  <c r="Q10" i="43"/>
  <c r="K8" i="40" l="1"/>
  <c r="V21" i="40"/>
  <c r="P31" i="2"/>
  <c r="E59" i="44"/>
  <c r="E60" i="42"/>
  <c r="G7" i="27"/>
</calcChain>
</file>

<file path=xl/sharedStrings.xml><?xml version="1.0" encoding="utf-8"?>
<sst xmlns="http://schemas.openxmlformats.org/spreadsheetml/2006/main" count="1404" uniqueCount="557">
  <si>
    <t>osoby poprzednio pracujące</t>
  </si>
  <si>
    <t>w tym:</t>
  </si>
  <si>
    <t>osoby dotychczas nie pracujące</t>
  </si>
  <si>
    <t>Wyszczególnienie</t>
  </si>
  <si>
    <t>ogółem</t>
  </si>
  <si>
    <t>kobiety</t>
  </si>
  <si>
    <t>mężczyźni</t>
  </si>
  <si>
    <t>wyzsze</t>
  </si>
  <si>
    <t>policealne i średnie zawodowe</t>
  </si>
  <si>
    <t>średnie ogólnokształcace</t>
  </si>
  <si>
    <t>zasadnicze-zawodowe</t>
  </si>
  <si>
    <t>zasiłki dla bezrobotnych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</si>
  <si>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</si>
  <si>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</si>
  <si>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</si>
  <si>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</si>
  <si>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</si>
  <si>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</si>
  <si>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</si>
  <si>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</si>
  <si>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</si>
  <si>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</si>
  <si>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</si>
  <si>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</si>
  <si>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</si>
  <si>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</si>
  <si>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</si>
  <si>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</si>
  <si>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</si>
  <si>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</si>
  <si>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</si>
  <si>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</si>
  <si>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</si>
  <si>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</si>
  <si>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</si>
  <si>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</si>
  <si>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</si>
  <si>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</si>
  <si>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</si>
  <si>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przy pracach interwencyjnych</t>
  </si>
  <si>
    <t>przy robotach publicznych</t>
  </si>
  <si>
    <t>bezrobotni skierowani na staż</t>
  </si>
  <si>
    <t>osoby zatrudnione</t>
  </si>
  <si>
    <t>bezrobotni, którzy rozpoczęli prace społecznie użyteczne</t>
  </si>
  <si>
    <t>bezrobotni, którzy podjęli działalność gospodarczą</t>
  </si>
  <si>
    <t>Razem</t>
  </si>
  <si>
    <t>pracy subsydiowanej</t>
  </si>
  <si>
    <t>z sektora publicznego</t>
  </si>
  <si>
    <t>w tym</t>
  </si>
  <si>
    <t>Ogółem</t>
  </si>
  <si>
    <t>18-24</t>
  </si>
  <si>
    <t>25-34</t>
  </si>
  <si>
    <t>35-44</t>
  </si>
  <si>
    <t>45-54</t>
  </si>
  <si>
    <t>55-59</t>
  </si>
  <si>
    <t>do 1 roku</t>
  </si>
  <si>
    <t>bez stażu pracy</t>
  </si>
  <si>
    <t>30 lat i więcej</t>
  </si>
  <si>
    <t>w liczbach bezwzgędnych</t>
  </si>
  <si>
    <t>z tego w przedziałach wieku</t>
  </si>
  <si>
    <t>60 lat i więcej</t>
  </si>
  <si>
    <t>z tego z wykształceniem</t>
  </si>
  <si>
    <t>wyższym</t>
  </si>
  <si>
    <t>policealnym i średnim zawodowym</t>
  </si>
  <si>
    <t>średnim ogólnokształcącym</t>
  </si>
  <si>
    <t>zasadniczym zawodowym</t>
  </si>
  <si>
    <t>gimnazjalnym i poniżej</t>
  </si>
  <si>
    <t>od 1 do 5 lat</t>
  </si>
  <si>
    <t>od 5 do 10 lat</t>
  </si>
  <si>
    <t>od 10 do 20 lat</t>
  </si>
  <si>
    <t>od 20 do 30 lat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</si>
  <si>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</si>
  <si>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</si>
  <si>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</si>
  <si>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</si>
  <si>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</si>
  <si>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</si>
  <si>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</si>
  <si>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podjęcia pracy w ramach refundacji kosztów zatrudnienia bezrobotnego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</si>
  <si>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</si>
  <si>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</si>
  <si>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</si>
  <si>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</si>
  <si>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</si>
  <si>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</si>
  <si>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podjęcia pracy poza miejscem zamieszkania w ramach bonu na zasiedlenie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</si>
  <si>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</si>
  <si>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</si>
  <si>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</si>
  <si>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</si>
  <si>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</si>
  <si>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---</t>
  </si>
  <si>
    <t>w tym kobiety</t>
  </si>
  <si>
    <t>od 31 do 50 roku życia</t>
  </si>
  <si>
    <t>wzrost-spadek*</t>
  </si>
  <si>
    <t>kategorie</t>
  </si>
  <si>
    <t>w tym osoby zwolnione z przyczyn dotyczących zakładu pracy</t>
  </si>
  <si>
    <t>w liczbach</t>
  </si>
  <si>
    <t>bezrobotni ogółem</t>
  </si>
  <si>
    <t>liczba</t>
  </si>
  <si>
    <t>powiaty</t>
  </si>
  <si>
    <t>wzrost/spadek</t>
  </si>
  <si>
    <t>LICZBA BEZROBOTNYCH</t>
  </si>
  <si>
    <t>STOPA BEZROBOCIA</t>
  </si>
  <si>
    <t>wzrost/spadek (liczba)</t>
  </si>
  <si>
    <t>*Bank Danych Loklanych www.stat.gov.pl</t>
  </si>
  <si>
    <t>nowo zarejestrowani bezrobotni "napływ"</t>
  </si>
  <si>
    <t xml:space="preserve">  z tego rejestrujący się:</t>
  </si>
  <si>
    <t xml:space="preserve">   w tym powracający do rejestracji:</t>
  </si>
  <si>
    <t>- po pracach społecznie użytecznych</t>
  </si>
  <si>
    <t>"napływ" bezrobotnych</t>
  </si>
  <si>
    <t>bezrobotni wyłączeni z rejestru "odpływ" (ogółem)</t>
  </si>
  <si>
    <t>z powodu podjęcia pracy</t>
  </si>
  <si>
    <t>- pracy niesubsydiowanej</t>
  </si>
  <si>
    <t>- pracy subsydiowanej:</t>
  </si>
  <si>
    <t xml:space="preserve">   pracy subsydiowanej z tytułu:</t>
  </si>
  <si>
    <t>-  prac interwencyjnych</t>
  </si>
  <si>
    <t>-  robót publicznych</t>
  </si>
  <si>
    <t>-  otrzymania dotacji na uruchomienie działalności gospodarczej</t>
  </si>
  <si>
    <t>w tym bonu na zasiedlenie</t>
  </si>
  <si>
    <t>- podjęcia pracy w ramach bonu zatrudnieniowego</t>
  </si>
  <si>
    <t>- podjęcia pracy w ramach świadczenia aktywizacyjnego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</si>
  <si>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</si>
  <si>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</si>
  <si>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z innego powodu niż podjęcie pracy</t>
  </si>
  <si>
    <t>- odmowy bez uzasadnionej przyczyny przyjęcia propozycji odpowiedniej pracy lub innej formy pomocy, w tym w ramach Programu Aktywizacja i Integracja</t>
  </si>
  <si>
    <t>- nie potwierdzenia gotowości do pracy</t>
  </si>
  <si>
    <t>w tym w ramach bonu szkoleniowego</t>
  </si>
  <si>
    <t>w tym w ramach bonu stażowego</t>
  </si>
  <si>
    <t>w tym w ramach Programu Aktywizacja i Integracja</t>
  </si>
  <si>
    <t xml:space="preserve"> - inne (podjęcia pracy subsydiowanej)</t>
  </si>
  <si>
    <t>Kategorie</t>
  </si>
  <si>
    <t>z ogółu bezrobotnych, którzy podjęli pracę</t>
  </si>
  <si>
    <t>poprzednio pracujący (ogółem)</t>
  </si>
  <si>
    <t>w tym zwolnieni z przyczyn dotyczących zakładu pracy</t>
  </si>
  <si>
    <t>poprzednio pracujący</t>
  </si>
  <si>
    <t>"odpływ" bezrobotnych, w tym osoby, które podjęły pracę</t>
  </si>
  <si>
    <t>wyszczególnienie</t>
  </si>
  <si>
    <t>bezrobotni posiadający prawo do zasiłku w podziale na powiaty</t>
  </si>
  <si>
    <t>z tego wg stażu:</t>
  </si>
  <si>
    <t>w tym bezrobotni posiadający gospodarstwo rolne</t>
  </si>
  <si>
    <t>wzrost/spadek liczba</t>
  </si>
  <si>
    <t>Bezrobotni zamieszkali na wsi w podziale na powiaty</t>
  </si>
  <si>
    <t>bezrobotni długotrwale*</t>
  </si>
  <si>
    <t>do 30 roku życia*</t>
  </si>
  <si>
    <t>powyżej 50 roku życia**</t>
  </si>
  <si>
    <t>grupy zawodów</t>
  </si>
  <si>
    <t>A</t>
  </si>
  <si>
    <t>B</t>
  </si>
  <si>
    <t>AB</t>
  </si>
  <si>
    <t>razem</t>
  </si>
  <si>
    <t>w mln zł</t>
  </si>
  <si>
    <t>* Kategoria ta zawiera koszty należne instytucjom szkoleniowym, koszty egzaminów, licencji bez stypendiów i składek na ubezpieczenie społeczne.</t>
  </si>
  <si>
    <t>PRZEDSTAWICIELE WŁADZ PUBLICZNYCH, WYŻSI URZĘDNICY I KIEROWNICY</t>
  </si>
  <si>
    <t>SPECJALIŚCI</t>
  </si>
  <si>
    <t>TECHNICY I INNY ŚREDNI PERSONEL</t>
  </si>
  <si>
    <t>PRACOWNICY BIUROWI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</si>
  <si>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</si>
  <si>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</si>
  <si>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</si>
  <si>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</si>
  <si>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PRACOWNICY WYKONUJĄCY PRACE PROSTE</t>
  </si>
  <si>
    <t>bezrobotni bez zawodu</t>
  </si>
  <si>
    <t>bezrobotni z zawodem</t>
  </si>
  <si>
    <t>kody zawodów (wg KZiS)</t>
  </si>
  <si>
    <t>Kierownicy do spraw zarządzania i handlu</t>
  </si>
  <si>
    <t>Kierownicy do spraw produkcji i usług</t>
  </si>
  <si>
    <t>Kierownicy w branży hotelarskiej, handlu i innych branżach usługowych</t>
  </si>
  <si>
    <t>SIŁY ZBROJNE</t>
  </si>
  <si>
    <t>BEZROBOTNI Z ZAWODEM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</si>
  <si>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</si>
  <si>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</si>
  <si>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</si>
  <si>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</si>
  <si>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</si>
  <si>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</si>
  <si>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</si>
  <si>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</si>
  <si>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</si>
  <si>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</si>
  <si>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</si>
  <si>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</si>
  <si>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</si>
  <si>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</si>
  <si>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</si>
  <si>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osobistych</t>
  </si>
  <si>
    <t>Sprzedawcy i pokrewni</t>
  </si>
  <si>
    <t>Pracownicy opieki osobistej i pokrewni</t>
  </si>
  <si>
    <t>Pracownicy usług ochrony</t>
  </si>
  <si>
    <t>Rolnicy produkcji towarowej</t>
  </si>
  <si>
    <t>Leśnicy i rybacy</t>
  </si>
  <si>
    <t>Rolnicy i rybacy pracujący na własne potrzeby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</si>
  <si>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</si>
  <si>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</si>
  <si>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</si>
  <si>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</si>
  <si>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</si>
  <si>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maszyn i urządzeń wydobywczych i przetwórczych</t>
  </si>
  <si>
    <t>Monterzy</t>
  </si>
  <si>
    <t>Kierowcy i operatorzy pojazdów</t>
  </si>
  <si>
    <t>Pomoce domowe i sprzątaczki</t>
  </si>
  <si>
    <t>Robotnicy wykonujący prace proste w rolnictwie, leśnictwie, leśnictwie i rybactwie</t>
  </si>
  <si>
    <t>Robotnicy wykonujący prace proste w górnictwie, przemyśle, budownictwie i transporcie</t>
  </si>
  <si>
    <t>Pracownicy wykonujący prace proste związane z przygotowywaniem posiłków</t>
  </si>
  <si>
    <t>Sprzedawcy uliczni i pracownicy świadczący usługi na ulicach</t>
  </si>
  <si>
    <t>Ładowacze nieczystości i inni pracownicy wykonujący prace proste</t>
  </si>
  <si>
    <t>Oficerowie sił zbrojnych</t>
  </si>
  <si>
    <t>Podoficerowie sił zbrojnych</t>
  </si>
  <si>
    <t>Żołnierze szeregowi</t>
  </si>
  <si>
    <t>PRZEDSTAWICIELE WŁADZ PUBLICZNYCH, WYŻSI URZĘDNICY I KIEROWNICY*</t>
  </si>
  <si>
    <t>Przedstawiciele władz publicznych, wyżsi urzędnicy i dyrektorzy generalni**</t>
  </si>
  <si>
    <t>BEZROBOTNI BEZ ZAWODU***</t>
  </si>
  <si>
    <t>OFERTY BEZ ZAWODU***</t>
  </si>
  <si>
    <t>OFERTY Z ZAWODEM</t>
  </si>
  <si>
    <t>do 25 roku życia</t>
  </si>
  <si>
    <t xml:space="preserve">   do 30 roku życia</t>
  </si>
  <si>
    <t xml:space="preserve">   długotrwale bezrobotni</t>
  </si>
  <si>
    <t xml:space="preserve">   powyżej 50 roku życia</t>
  </si>
  <si>
    <t xml:space="preserve">   korzystający ze świadczeń pomocy społecznej</t>
  </si>
  <si>
    <t xml:space="preserve">   posiadający co najmniej jedno dziecko do 6 roku życia</t>
  </si>
  <si>
    <t xml:space="preserve">   posiadający co najmniej jedno dziecko niepełnosprawne do 18 roku życia</t>
  </si>
  <si>
    <t xml:space="preserve">  niepełnosprawni</t>
  </si>
  <si>
    <t>bezrobotni wg wieku</t>
  </si>
  <si>
    <t xml:space="preserve">*Bezrobotny długotrwale – pozostający w rejestrze powiatowego urzędu pracy łącznie przez okres ponad 12 miesięcy </t>
  </si>
  <si>
    <t xml:space="preserve">ogółem </t>
  </si>
  <si>
    <t xml:space="preserve">                                                  w okresie ostatnich 2 lat, z wyłączeniem okresów odbywania stażu</t>
  </si>
  <si>
    <t xml:space="preserve">                                                  i przygotowania zawodowego dorosłych.</t>
  </si>
  <si>
    <t>Pracownicy (ogółem)</t>
  </si>
  <si>
    <t xml:space="preserve"> z zakładów sektora prywatnego</t>
  </si>
  <si>
    <t>z zakładów  sektora publicznego</t>
  </si>
  <si>
    <t>Tabela II.     BEZROBOTNI W PUP ORAZ STOPA BEZROBOCIA WG POWIATÓW</t>
  </si>
  <si>
    <t>Tabela I.     STAN I STRUKTURA OSÓB BEZROBOTNYCH ZAREJESTROWANYCH W PUP</t>
  </si>
  <si>
    <t xml:space="preserve">      realizacji studiów podyplomowych i szkolenia oraz stypendia i składki na ubezpieczenia społeczne za okres kontynuowania nauki. </t>
  </si>
  <si>
    <t>wzrost/spadek ogółem</t>
  </si>
  <si>
    <t>zgłoszenia</t>
  </si>
  <si>
    <t>zwolnienia</t>
  </si>
  <si>
    <t>Ip '18</t>
  </si>
  <si>
    <t xml:space="preserve">                      Stan w końcu okresu, województwo podkarpackie</t>
  </si>
  <si>
    <t>ROK</t>
  </si>
  <si>
    <t>I półrocze</t>
  </si>
  <si>
    <t>m. Krosno</t>
  </si>
  <si>
    <t>m. Przemyśl</t>
  </si>
  <si>
    <t>m. Rzeszów</t>
  </si>
  <si>
    <t>m. Tarnobrzeg</t>
  </si>
  <si>
    <t>Rolnictwo, leśnictwo, łowiectwo i rybactwo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</si>
  <si>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</si>
  <si>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</si>
  <si>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</si>
  <si>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wody,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</si>
  <si>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</si>
  <si>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</si>
  <si>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</si>
  <si>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</si>
  <si>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</si>
  <si>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</si>
  <si>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</si>
  <si>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</si>
  <si>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</si>
  <si>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</si>
  <si>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</si>
  <si>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</si>
  <si>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</si>
  <si>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</si>
  <si>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Działalność niezidentyfikowana</t>
  </si>
  <si>
    <t>O</t>
  </si>
  <si>
    <t xml:space="preserve">z ogółem sekcje PKD: </t>
  </si>
  <si>
    <t>Działalność finansowa i ubezpieczeniowa</t>
  </si>
  <si>
    <t>wzrost/spadek w proc.</t>
  </si>
  <si>
    <t>dynamika</t>
  </si>
  <si>
    <t>II p subsydia</t>
  </si>
  <si>
    <t>średnia liczba osób bezrobotnych na 1 ofertę pracy w roku</t>
  </si>
  <si>
    <t>średnia liczba osób bezrobotnych na 1 ofertę pracy w półroczu</t>
  </si>
  <si>
    <t>Ip '19</t>
  </si>
  <si>
    <t>bezrobotni (ogółem)</t>
  </si>
  <si>
    <t>posiadający prawo do zasiłku ogółem - województwo</t>
  </si>
  <si>
    <t>Ip '07</t>
  </si>
  <si>
    <t>Ip '08</t>
  </si>
  <si>
    <t>Ip '09</t>
  </si>
  <si>
    <t>Ip '10</t>
  </si>
  <si>
    <t>Ip '11</t>
  </si>
  <si>
    <t>Ip '12</t>
  </si>
  <si>
    <t>Ip '13</t>
  </si>
  <si>
    <t>Ip '14</t>
  </si>
  <si>
    <t>Ip '15</t>
  </si>
  <si>
    <t>Ip '16</t>
  </si>
  <si>
    <t>Ip '17</t>
  </si>
  <si>
    <t>I półrocza</t>
  </si>
  <si>
    <t>oferty og. w roku</t>
  </si>
  <si>
    <t>w tym subs. w roku</t>
  </si>
  <si>
    <t xml:space="preserve">                  w okresach sprawozdawczych, województwo podkarpackie</t>
  </si>
  <si>
    <t xml:space="preserve">                    w okresach sprawozdawczych, województwo podkarpackie</t>
  </si>
  <si>
    <t xml:space="preserve">                     w okresie sprawozdawczym, województwo podkarpackie</t>
  </si>
  <si>
    <t xml:space="preserve">                     stan w końcu okresu, województwo podkarpackie</t>
  </si>
  <si>
    <t xml:space="preserve">                         w okresie sprawozdawczym, województwo podkarpackie</t>
  </si>
  <si>
    <t xml:space="preserve">                           w okresie sprawozdawczym, województwo podkarpackie</t>
  </si>
  <si>
    <t>lokata max</t>
  </si>
  <si>
    <t>lokata min</t>
  </si>
  <si>
    <t>lokata max sp.</t>
  </si>
  <si>
    <t>lokata min sp.</t>
  </si>
  <si>
    <t>do 30</t>
  </si>
  <si>
    <t>31-50</t>
  </si>
  <si>
    <t>pow.50</t>
  </si>
  <si>
    <t xml:space="preserve">wzrost/spadek </t>
  </si>
  <si>
    <t>(w proc.)</t>
  </si>
  <si>
    <t>do 30 roku życia</t>
  </si>
  <si>
    <t>do 50 roku życia</t>
  </si>
  <si>
    <t>1999=100%</t>
  </si>
  <si>
    <t>1999 r. dot. pracy stałej</t>
  </si>
  <si>
    <t>Zwyżki</t>
  </si>
  <si>
    <t>2014-2017</t>
  </si>
  <si>
    <t>subsydia w Ip. danego roku</t>
  </si>
  <si>
    <t>oferty og. w Ip. danego roku</t>
  </si>
  <si>
    <t>----</t>
  </si>
  <si>
    <t>*** Kategoria ta od 2016 r. zawiera refundację wynagrodzeń osobom w wieku do 30 roku życia.</t>
  </si>
  <si>
    <t>19</t>
  </si>
  <si>
    <t>IP '20</t>
  </si>
  <si>
    <r>
      <t xml:space="preserve">                      </t>
    </r>
    <r>
      <rPr>
        <u/>
        <sz val="11"/>
        <color theme="1"/>
        <rFont val="Times New Roman"/>
        <family val="1"/>
        <charset val="238"/>
      </rPr>
      <t>Stan w końcu okresu</t>
    </r>
    <r>
      <rPr>
        <sz val="11"/>
        <color theme="1"/>
        <rFont val="Times New Roman"/>
        <family val="1"/>
        <charset val="238"/>
      </rPr>
      <t>, województwo podkarpackie</t>
    </r>
  </si>
  <si>
    <t>podjęcia pracy w ramach refundacji kosztów utworzenia stanowiska pracy</t>
  </si>
  <si>
    <t xml:space="preserve">                   stan w końcu okresu, województwo podkarpackie  c.d.</t>
  </si>
  <si>
    <t>20</t>
  </si>
  <si>
    <t>IP '21</t>
  </si>
  <si>
    <t>proc. do ogółem</t>
  </si>
  <si>
    <t>18-44</t>
  </si>
  <si>
    <t>45-60</t>
  </si>
  <si>
    <t>oferty pracy</t>
  </si>
  <si>
    <t>Oferty pracy zgłoszone do powiatowych urzędów pracy w województwie podkarpackim.</t>
  </si>
  <si>
    <t>sekcje PKD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</si>
  <si>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</si>
  <si>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</si>
  <si>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</si>
  <si>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</si>
  <si>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</si>
  <si>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</si>
  <si>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</si>
  <si>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</si>
  <si>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</si>
  <si>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</si>
  <si>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</si>
  <si>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</si>
  <si>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</si>
  <si>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</si>
  <si>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</si>
  <si>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</si>
  <si>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</si>
  <si>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</si>
  <si>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B-F</t>
  </si>
  <si>
    <t>H-U</t>
  </si>
  <si>
    <t>w proc.</t>
  </si>
  <si>
    <t>w tym osoby posiadające obywatelstwo ukraińskie *</t>
  </si>
  <si>
    <t>osoby posiadające obywatelestwo ukraińskie zarejestrowane jako poszukujący pracy *</t>
  </si>
  <si>
    <t>wzrost / spadek (liczba)</t>
  </si>
  <si>
    <t>wzrost / spadek w proc.</t>
  </si>
  <si>
    <t>w proc. *</t>
  </si>
  <si>
    <t>w proc.*</t>
  </si>
  <si>
    <t xml:space="preserve">* W jednocyfrowych grupach zawodów, odsetek w stosunku do liczby bezrobotnych ogółem z zawodem (B=100 proc.). </t>
  </si>
  <si>
    <t>** Wartości procentowe odpowiadające grupom dwucyfrowym obliczono dla danej grupy jednocyfrowej (GJ=100 proc.).</t>
  </si>
  <si>
    <t>*** Odsetek dla bezrobotnych bez zawodu w stosunku do "ogłóem" (A+B=100 proc.).</t>
  </si>
  <si>
    <t>wzrost/spadek (w proc.)</t>
  </si>
  <si>
    <t xml:space="preserve">* W jednocyfrowych grupach zawodów, odsetek w stosunku do liczby ofert ogółem z zawodem (B=100 proc.). </t>
  </si>
  <si>
    <t>*** Odsetek dla ofert bez zawodu w stosunku do "ogółem" (A+B=100 proc.).</t>
  </si>
  <si>
    <t>IP '22</t>
  </si>
  <si>
    <t>21</t>
  </si>
  <si>
    <t>dotychczas niepracujący</t>
  </si>
  <si>
    <t>kobiety z obywatelstwem ukraińskim zarejestrowane jako osoby bezrobotne</t>
  </si>
  <si>
    <t>kobiety z obywatelstwem ukraińskim zarejestrowane jako osoby poszukujące pracy</t>
  </si>
  <si>
    <t>udział bezrobotnych KOBIET z obywatelstwem ukraińskim w bezrobotnych ogółem z obywatelstwem ukraińskim (w proc.)</t>
  </si>
  <si>
    <t>najwyższy proc.</t>
  </si>
  <si>
    <t>najniższy proc.</t>
  </si>
  <si>
    <t>wyższe</t>
  </si>
  <si>
    <t>polic. i śr. zaw.</t>
  </si>
  <si>
    <t>śr. ogólnokszt.</t>
  </si>
  <si>
    <t>zas. zaw.</t>
  </si>
  <si>
    <t>gimn., podst. i niep. podst.</t>
  </si>
  <si>
    <t>wydatki w wartościach bezwzględnych</t>
  </si>
  <si>
    <t xml:space="preserve">  szkolenia*</t>
  </si>
  <si>
    <t xml:space="preserve">  prace interwencyjne</t>
  </si>
  <si>
    <t xml:space="preserve">  roboty publiczne</t>
  </si>
  <si>
    <t xml:space="preserve">  środki na podjęcie działalności gospodarczej</t>
  </si>
  <si>
    <t xml:space="preserve">  środki dla pracodawców na wyp. i doposażenie miejsc pracy</t>
  </si>
  <si>
    <t xml:space="preserve">  stypendia i składki na ubezpieczenia społeczne **</t>
  </si>
  <si>
    <t xml:space="preserve">  pozostałe aktywne formy ***</t>
  </si>
  <si>
    <t>wg poziomu wykształcenia</t>
  </si>
  <si>
    <t>gimnazjalne, podstawowe, niepełne podstawowe i bez wykształcenia szkolnego</t>
  </si>
  <si>
    <t>www.stat.gov.pl,  Bank Danych Lokalnych.</t>
  </si>
  <si>
    <t>* Ostatni z opisywanych lat do roku poprzedniego. Wzrost lub spadek w pkt. proc.</t>
  </si>
  <si>
    <t>22</t>
  </si>
  <si>
    <t>IP '23</t>
  </si>
  <si>
    <t>Ip.23</t>
  </si>
  <si>
    <t>Ip.22</t>
  </si>
  <si>
    <t>Ip.98</t>
  </si>
  <si>
    <t>Ip.99</t>
  </si>
  <si>
    <t>Ip.00</t>
  </si>
  <si>
    <t>Ip.01</t>
  </si>
  <si>
    <t>Ip.02</t>
  </si>
  <si>
    <t>Ip.03</t>
  </si>
  <si>
    <t>Ip.04</t>
  </si>
  <si>
    <t>Ip.05</t>
  </si>
  <si>
    <t>Ip.06</t>
  </si>
  <si>
    <t>Ip.07</t>
  </si>
  <si>
    <t>Ip.08</t>
  </si>
  <si>
    <t>Ip.09</t>
  </si>
  <si>
    <t>Ip.10</t>
  </si>
  <si>
    <t>Ip.11</t>
  </si>
  <si>
    <t>Ip.12</t>
  </si>
  <si>
    <t>Ip.13</t>
  </si>
  <si>
    <t>Ip.14</t>
  </si>
  <si>
    <t>Ip.15</t>
  </si>
  <si>
    <t>Ip.16</t>
  </si>
  <si>
    <t>Ip.17</t>
  </si>
  <si>
    <t>Ip.18</t>
  </si>
  <si>
    <t>Ip.19</t>
  </si>
  <si>
    <t>Ip.20</t>
  </si>
  <si>
    <t>Ip.21</t>
  </si>
  <si>
    <t>udział w bezrobotnych ogółem (proc.)</t>
  </si>
  <si>
    <t>lokata max kol. 3</t>
  </si>
  <si>
    <t>lokata min kol. 3</t>
  </si>
  <si>
    <t>lokata</t>
  </si>
  <si>
    <t>30 VI 2024</t>
  </si>
  <si>
    <t>I półrocze 2024</t>
  </si>
  <si>
    <t>- podjęcia pracy w ramach grantu na utworzenie stanowiska pracy zdalnej</t>
  </si>
  <si>
    <t>Ip 2024</t>
  </si>
  <si>
    <t>23</t>
  </si>
  <si>
    <t/>
  </si>
  <si>
    <t>Ip '24</t>
  </si>
  <si>
    <t>bezrobotni skierowani na szkolenie</t>
  </si>
  <si>
    <t>wzrost/spadek ogółem
(liczba)</t>
  </si>
  <si>
    <t>ANALOGICZNY STAN - ROK DO ROKU</t>
  </si>
  <si>
    <t>Ip.24</t>
  </si>
  <si>
    <t>B_2024</t>
  </si>
  <si>
    <t>krośnieński + mnpp</t>
  </si>
  <si>
    <t>przemyski + mnpp</t>
  </si>
  <si>
    <t>rzeszowski + mnpp</t>
  </si>
  <si>
    <t>tarnobrzeski + mnpp</t>
  </si>
  <si>
    <t xml:space="preserve"> zwolnień zgłoszonych z roku poprzedniego.</t>
  </si>
  <si>
    <t>W niektórych okresach następuje kontynuacja</t>
  </si>
  <si>
    <t xml:space="preserve">                   w końcu okresu, województwo podkarpackie</t>
  </si>
  <si>
    <t xml:space="preserve">                    stan w końcu okresu</t>
  </si>
  <si>
    <t>Tabela III.  OSOBY POSIADAJĄCE OBYWATELSTWO</t>
  </si>
  <si>
    <t xml:space="preserve">                   UKRAIŃSKIE ZAREJESTROWANE JAKO BEZROBOTNI W PUP</t>
  </si>
  <si>
    <t xml:space="preserve">                   wg powiatów, stan w końcu okresu</t>
  </si>
  <si>
    <t>Tabela IV.   BEZROBOTNI ZAREJESTROWANI "NAPŁYW"</t>
  </si>
  <si>
    <t>Tabela V.   "NAPŁYW" BEZROBOTNYCH W POWIATACH</t>
  </si>
  <si>
    <t xml:space="preserve">Tabela VI.  BEZROBOTNI WYŁĄCZENI Z REJESTRU "ODPŁYW" </t>
  </si>
  <si>
    <t xml:space="preserve">                  w okresie sprawozdawczym, województwo podkarpackie</t>
  </si>
  <si>
    <t>Tabela VII.   BEZROBOTNI, KTÓRZY PODJĘLI PRACĘ</t>
  </si>
  <si>
    <t>Tabela VIII.   "ODPŁYW" BEZROBOTNYCH W POWIATACH</t>
  </si>
  <si>
    <t>Tabela IX.    BEZROBOTNI POSIADAJĄCY PRAWO DO ZASIŁKU</t>
  </si>
  <si>
    <t>Tabela XIII.    BEZROBOTNI ZAMIESZKALI NA WSI</t>
  </si>
  <si>
    <t xml:space="preserve">                         stan w końcu okresu, województwo podkarpackie</t>
  </si>
  <si>
    <t>Tabela XIV. BEZROBOTNI W SZCZEGÓLNEJ SYTUACJI</t>
  </si>
  <si>
    <t xml:space="preserve">                      stan w końcu okresu, województwo podkarpackie</t>
  </si>
  <si>
    <t xml:space="preserve">                       stan w końcu okresu, województwo podkarpackie</t>
  </si>
  <si>
    <t xml:space="preserve">                  stan w końcu okresu</t>
  </si>
  <si>
    <t>Tabela X. BEZROBOTNI WG WIEKU,</t>
  </si>
  <si>
    <t>Tabela XI. BEZROBOTNI WG WYKSZTAŁCENIA,</t>
  </si>
  <si>
    <t>Tabela XII. BEZROBOTNI WG STAŻU PRACY,</t>
  </si>
  <si>
    <t>stan w końcu okresu, porównanie zmian w półroczu</t>
  </si>
  <si>
    <t xml:space="preserve">                      NA RYNKU PRACY,</t>
  </si>
  <si>
    <t>stan w końcu okresu, porównanie stanów - czerwiec do czerwca</t>
  </si>
  <si>
    <t>Tabela XV. BEZROBOTNI W SZCZEGÓLNEJ SYTUACJI</t>
  </si>
  <si>
    <t>Tabela XVI. BEZROBOTNI WG WIEKU, W TYM DO 30 ROKU ŻYCIA I POWYŻEJ 50 ROKU ŻYCIA,</t>
  </si>
  <si>
    <t>Tabela XVII.  BEZROBOTNI DO 30 ROKU ŻYCIA I POWYŻEJ 50 ROKU ŻYCIA,</t>
  </si>
  <si>
    <t>Tabela XVIII.  BEZROBOTNI DŁUGOTRWALE</t>
  </si>
  <si>
    <t xml:space="preserve">Tabela XIX.      OFERTY  PRACY   WG </t>
  </si>
  <si>
    <t xml:space="preserve">                           POLSKIEJ KLASYFIKACJI DZIAŁALNOŚCI (PKD),</t>
  </si>
  <si>
    <t>Tabela XX.  ZMIANY ILOŚCI BEZROBOTNYCH WG GRUP ZAWODOWYCH,</t>
  </si>
  <si>
    <t>Tabela XXI.   BEROBOTNI WG GRUP ZAWODÓW,</t>
  </si>
  <si>
    <t>Tabela XXII.     Wolne miejsca pracy i miejsca aktywizacji zawodowej zgłoszone</t>
  </si>
  <si>
    <t xml:space="preserve">                           przez pracodawców do PUP,</t>
  </si>
  <si>
    <t>Tabela XXIII.    ZMIANY W LICZBIE WOLNYCH MIEJSC PRACY</t>
  </si>
  <si>
    <t xml:space="preserve">                           I MIEJSC AKTYWIZACJI ZAWODOWEJ ZGŁOSZONYCH PRZEZ PRACODAWCÓW DO PUP,</t>
  </si>
  <si>
    <t xml:space="preserve">Tabela XXIV.  WOLNE MIEJSCA PRACY I MIEJSCA AKTYWIZACJI ZAWODOWEJ  ZGŁOSZONE </t>
  </si>
  <si>
    <t xml:space="preserve">                         PRZEZ PRACODAWCÓW DO PUP,</t>
  </si>
  <si>
    <r>
      <t xml:space="preserve">Tabela XXV.  </t>
    </r>
    <r>
      <rPr>
        <b/>
        <sz val="11"/>
        <color theme="1"/>
        <rFont val="Times New Roman"/>
        <family val="1"/>
        <charset val="238"/>
      </rPr>
      <t>WYDATKI  REALIZOWANE  Z  FUNDUSZU  PRACY</t>
    </r>
  </si>
  <si>
    <t>w okresie sprawozdawczym, województwo podkarpackie</t>
  </si>
  <si>
    <t>Tabela XXVI   Aktywne formy promocji zatrudnienia wg powiatów. Liczba bezrobotnych aktywizowanych w ramach poszczególnych form,</t>
  </si>
  <si>
    <r>
      <t xml:space="preserve">Tabela XXVII.  </t>
    </r>
    <r>
      <rPr>
        <b/>
        <sz val="11"/>
        <color theme="1"/>
        <rFont val="Times New Roman"/>
        <family val="1"/>
        <charset val="238"/>
      </rPr>
      <t>ZGŁOSZENIA ZWOLNIEŃ</t>
    </r>
    <r>
      <rPr>
        <sz val="11"/>
        <color theme="1"/>
        <rFont val="Times New Roman"/>
        <family val="1"/>
        <charset val="238"/>
      </rPr>
      <t xml:space="preserve"> Z PRZYCZYN NIEDOTYCZĄCYCH PRACOWNIKÓW</t>
    </r>
  </si>
  <si>
    <t xml:space="preserve">                          w okresie sprawozdawczym</t>
  </si>
  <si>
    <t>31 XII 2024</t>
  </si>
  <si>
    <t>30 VI 2025</t>
  </si>
  <si>
    <t>31 XII '24</t>
  </si>
  <si>
    <t>wzrost/spadek do XII '24 (liczba)</t>
  </si>
  <si>
    <t>31 XII '24*</t>
  </si>
  <si>
    <t>wzrost/spadek do XII 24 (pkt. proc.)</t>
  </si>
  <si>
    <t>24</t>
  </si>
  <si>
    <t>II półrocze 2024</t>
  </si>
  <si>
    <t>2024 rok</t>
  </si>
  <si>
    <t>I półrocze 2025</t>
  </si>
  <si>
    <t>IIp 2024</t>
  </si>
  <si>
    <t>Ip 2025</t>
  </si>
  <si>
    <t xml:space="preserve"> 31 XII 2024=100 proc.</t>
  </si>
  <si>
    <t>** Bezrobotny powyżej 50 roku życia – w dniu zastosowania wobec niego aktywnych form ukończył co najmniej 50 rok życia.</t>
  </si>
  <si>
    <t>* Bezrobotny do 30 roku życia – do dnia zastosowania wobec niego aktywnych form nie ukończył 30 roku życia.</t>
  </si>
  <si>
    <t>wzrost/spadek 31 XII 24=100 proc.
(liczba)</t>
  </si>
  <si>
    <t>wzrost / spadek 31 XII 24=100 proc.   (w proc.)</t>
  </si>
  <si>
    <t>wzrost/spadek 30 VI 24=100 proc.
(liczba)</t>
  </si>
  <si>
    <t>wzrost/spadek 30 VI 24=100 proc.  (w proc.)</t>
  </si>
  <si>
    <t>Ip25</t>
  </si>
  <si>
    <t>Ip'25</t>
  </si>
  <si>
    <t>B_2025</t>
  </si>
  <si>
    <t>rozkłady procentowe wg poszczególnych kategorii</t>
  </si>
  <si>
    <t>ogółem wydatki z FP</t>
  </si>
  <si>
    <t>Aktywne formy promocji zatrudnienia</t>
  </si>
  <si>
    <t xml:space="preserve">     w tym</t>
  </si>
  <si>
    <t xml:space="preserve">      staże</t>
  </si>
  <si>
    <t>Pozostałe wydatki [do ogółem]</t>
  </si>
  <si>
    <t>** Kategoria ta zawiera stypendia dla uczestników i składki na ubezpieczenie społeczne za okres stażu, przygotowania zawodowego dorosłych,</t>
  </si>
  <si>
    <t>mnpp - Miasto na prawach powiatu łącznie z powiatem. Dotyczy Krosna, Rzeszowa, Praemyśla i Tarnobrzega.</t>
  </si>
  <si>
    <t>31 XII 2025</t>
  </si>
  <si>
    <t>31 XII '25</t>
  </si>
  <si>
    <t>31 XII 25</t>
  </si>
  <si>
    <t>LICZBA BEZROBOTNYCH ogółem, stan na 31 XII 2025</t>
  </si>
  <si>
    <t>LICZBA POSZUKUJĄCYCH PRACY ogółem, stan na 31 XII 2025</t>
  </si>
  <si>
    <t>II półrocze 2025</t>
  </si>
  <si>
    <t>2025 rok</t>
  </si>
  <si>
    <t>wzrost lub spadek w por. do 2024 r.</t>
  </si>
  <si>
    <t>IIp 2025</t>
  </si>
  <si>
    <t>25</t>
  </si>
  <si>
    <t>31 XII 24=100 proc.</t>
  </si>
  <si>
    <t>30 VI 24=100 proc.</t>
  </si>
  <si>
    <t xml:space="preserve">30 VI 24=100 proc. </t>
  </si>
  <si>
    <t>w 24 r.</t>
  </si>
  <si>
    <t>w 25 r.</t>
  </si>
  <si>
    <t>25 r. w proc. (w ogółem, dla danej kategorii)</t>
  </si>
  <si>
    <t>liczba bezrobotnych 31 XII 2024</t>
  </si>
  <si>
    <t>liczba bezrobotnych 31 XII 2025</t>
  </si>
  <si>
    <t>w okresie 2025 r.</t>
  </si>
  <si>
    <t>oferty pracy w 2024 r.</t>
  </si>
  <si>
    <t>oferty pracy w 2025 r.</t>
  </si>
  <si>
    <t>2025 r.</t>
  </si>
  <si>
    <t>2024 r.</t>
  </si>
  <si>
    <t>w okresie 2024 roku</t>
  </si>
  <si>
    <t>w okresie 2025 roku</t>
  </si>
  <si>
    <t>wyłączeni z rejestru z utratą statusu bezrobotnych [zarówno w sensie prawnym jak i do statystyk]</t>
  </si>
  <si>
    <t>bezrobotni wyłączeni z rejestru, którzy nie tracą statusu bezrobtnego w sensie prawnym, ale tracą go w sensie wliczenia do statystyki</t>
  </si>
  <si>
    <t>ANALIGICZNY STAN - PÓŁROCZE DO PÓŁROCZA</t>
  </si>
  <si>
    <t>31 XII 25 r.</t>
  </si>
  <si>
    <t>31 XII 24 r.</t>
  </si>
  <si>
    <t>25-54 lat</t>
  </si>
  <si>
    <t>wg wybranych przedziałów wieku [w latach]</t>
  </si>
  <si>
    <t xml:space="preserve">                          WSPÓŁCZYNNIK AKTYWNOŚCI  ZAWODOWEJ</t>
  </si>
  <si>
    <t xml:space="preserve">                          średnio w trzecim kwartale danego roku</t>
  </si>
  <si>
    <t>WSKAŹNIK ZATRUDNIENIA</t>
  </si>
  <si>
    <t>15-24 lat</t>
  </si>
  <si>
    <t>WSPÓŁCZYNNIK AKTYWNOŚCI ZAWODOWEJ</t>
  </si>
  <si>
    <t>Polska, ogółem 15-89</t>
  </si>
  <si>
    <t>województwo podkarpackie, ogółem 15-89</t>
  </si>
  <si>
    <t>Źrodło: SI "Cesar", 29-01-2026 r.</t>
  </si>
  <si>
    <t>* Są to osoby, zarejestrowane wg stanu na dzień. Na posdtawie SI "Cezar", 29-01-2026.</t>
  </si>
  <si>
    <t>Tabela XVII. BEZROBOTNI DO 30 ROKU ŻYCIA I POWYŻEJ 50 ROKU ŻYCIA  c.d.</t>
  </si>
  <si>
    <t>c.d. Tabela XVIII. BEZROBOTNI DŁUGOTRWALE</t>
  </si>
  <si>
    <t>Tabela XXVI   c. d. Aktywne formy promocji zatrudnienia wg powiatów. Liczba bezrobotnych aktywizowanych w ramach poszczególnych form,</t>
  </si>
  <si>
    <t xml:space="preserve">                                w okresie sprawozdawczym, województwo podkarpackie</t>
  </si>
  <si>
    <t>Tabela XXVIII.    WSKAŹNIK  ZATRUDNIENIA</t>
  </si>
  <si>
    <t>wzrost/spadek do 2024</t>
  </si>
  <si>
    <t>max</t>
  </si>
  <si>
    <t>dynamika spadków 31-12-2025 do 31-12-2024 w poszcz. grupach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</si>
</sst>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#,##0.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rgb="FF0000FF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5D9F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FF9"/>
        <bgColor rgb="FF000000"/>
      </patternFill>
    </fill>
    <fill>
      <patternFill patternType="solid">
        <fgColor rgb="FFEFF4FB"/>
        <bgColor indexed="64"/>
      </patternFill>
    </fill>
    <fill>
      <patternFill patternType="solid">
        <fgColor theme="9" tint="0.79998168889431442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0"/>
      </top>
      <bottom/>
      <diagonal/>
    </border>
    <border>
      <left style="thin">
        <color indexed="64"/>
      </left>
      <right style="medium">
        <color indexed="64"/>
      </right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0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>
      <alignment horizontal="right"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3" fillId="0" borderId="0">
      <alignment horizontal="right" vertical="center"/>
    </xf>
    <xf numFmtId="0" fontId="14" fillId="0" borderId="0">
      <alignment horizontal="left" vertical="center"/>
    </xf>
    <xf numFmtId="0" fontId="2" fillId="0" borderId="0">
      <alignment horizontal="left" vertical="center"/>
    </xf>
    <xf numFmtId="0" fontId="14" fillId="0" borderId="0">
      <alignment horizontal="left" vertical="center"/>
    </xf>
    <xf numFmtId="0" fontId="2" fillId="0" borderId="0">
      <alignment horizontal="right" vertical="center"/>
    </xf>
    <xf numFmtId="0" fontId="14" fillId="0" borderId="0">
      <alignment horizontal="right" vertical="center"/>
    </xf>
    <xf numFmtId="0" fontId="14" fillId="0" borderId="0">
      <alignment horizontal="right" vertical="center"/>
    </xf>
    <xf numFmtId="0" fontId="13" fillId="0" borderId="0">
      <alignment horizontal="right" vertical="center"/>
    </xf>
    <xf numFmtId="0" fontId="13" fillId="0" borderId="0">
      <alignment horizontal="left" vertical="center"/>
    </xf>
  </cellStyleXfs>
  <cellXfs count="1193">
    <xf numFmtId="0" fontId="0" fillId="0" borderId="0" xfId="0"/>
    <xf numFmtId="0" fontId="1" fillId="2" borderId="0" xfId="0" applyFont="1" applyFill="1"/>
    <xf numFmtId="0" fontId="0" fillId="2" borderId="0" xfId="0" applyFill="1"/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8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33" xfId="0" applyFont="1" applyFill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3" fontId="4" fillId="2" borderId="83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3" fontId="6" fillId="2" borderId="84" xfId="0" applyNumberFormat="1" applyFont="1" applyFill="1" applyBorder="1" applyAlignment="1">
      <alignment horizontal="center" vertical="center"/>
    </xf>
    <xf numFmtId="3" fontId="6" fillId="2" borderId="83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3" fontId="4" fillId="2" borderId="51" xfId="0" applyNumberFormat="1" applyFont="1" applyFill="1" applyBorder="1" applyAlignment="1">
      <alignment horizontal="center" vertical="center"/>
    </xf>
    <xf numFmtId="166" fontId="4" fillId="2" borderId="49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4" fillId="2" borderId="82" xfId="0" applyNumberFormat="1" applyFont="1" applyFill="1" applyBorder="1" applyAlignment="1">
      <alignment horizontal="center" vertical="center"/>
    </xf>
    <xf numFmtId="166" fontId="4" fillId="2" borderId="27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166" fontId="4" fillId="2" borderId="2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26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7" fillId="2" borderId="0" xfId="0" applyFont="1" applyFill="1"/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left"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9" fontId="4" fillId="2" borderId="19" xfId="0" applyNumberFormat="1" applyFont="1" applyFill="1" applyBorder="1" applyAlignment="1">
      <alignment horizontal="left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166" fontId="4" fillId="2" borderId="20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 indent="2"/>
    </xf>
    <xf numFmtId="166" fontId="4" fillId="2" borderId="21" xfId="0" applyNumberFormat="1" applyFont="1" applyFill="1" applyBorder="1" applyAlignment="1">
      <alignment horizontal="center" vertical="center"/>
    </xf>
    <xf numFmtId="3" fontId="4" fillId="2" borderId="9" xfId="0" quotePrefix="1" applyNumberFormat="1" applyFont="1" applyFill="1" applyBorder="1" applyAlignment="1">
      <alignment horizontal="center" vertical="center"/>
    </xf>
    <xf numFmtId="166" fontId="4" fillId="2" borderId="21" xfId="0" quotePrefix="1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63" xfId="0" applyNumberFormat="1" applyFont="1" applyFill="1" applyBorder="1" applyAlignment="1">
      <alignment horizontal="left" vertical="center" wrapText="1"/>
    </xf>
    <xf numFmtId="166" fontId="4" fillId="2" borderId="78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/>
    </xf>
    <xf numFmtId="166" fontId="4" fillId="2" borderId="77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3" fontId="4" fillId="2" borderId="11" xfId="0" quotePrefix="1" applyNumberFormat="1" applyFont="1" applyFill="1" applyBorder="1" applyAlignment="1">
      <alignment horizontal="center" vertical="center"/>
    </xf>
    <xf numFmtId="166" fontId="4" fillId="2" borderId="59" xfId="0" quotePrefix="1" applyNumberFormat="1" applyFont="1" applyFill="1" applyBorder="1" applyAlignment="1">
      <alignment horizontal="center" vertical="center"/>
    </xf>
    <xf numFmtId="166" fontId="4" fillId="2" borderId="59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2"/>
    </xf>
    <xf numFmtId="49" fontId="4" fillId="2" borderId="63" xfId="0" applyNumberFormat="1" applyFont="1" applyFill="1" applyBorder="1" applyAlignment="1">
      <alignment horizontal="left" vertical="center" wrapText="1" indent="2"/>
    </xf>
    <xf numFmtId="3" fontId="4" fillId="2" borderId="51" xfId="0" quotePrefix="1" applyNumberFormat="1" applyFont="1" applyFill="1" applyBorder="1" applyAlignment="1">
      <alignment horizontal="center" vertical="center"/>
    </xf>
    <xf numFmtId="166" fontId="4" fillId="2" borderId="78" xfId="0" quotePrefix="1" applyNumberFormat="1" applyFont="1" applyFill="1" applyBorder="1" applyAlignment="1">
      <alignment horizontal="center" vertical="center"/>
    </xf>
    <xf numFmtId="0" fontId="0" fillId="2" borderId="0" xfId="0" applyFont="1" applyFill="1"/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quotePrefix="1" applyNumberFormat="1" applyFont="1" applyFill="1" applyBorder="1" applyAlignment="1">
      <alignment horizontal="center" vertical="center"/>
    </xf>
    <xf numFmtId="3" fontId="4" fillId="2" borderId="63" xfId="0" quotePrefix="1" applyNumberFormat="1" applyFont="1" applyFill="1" applyBorder="1" applyAlignment="1">
      <alignment horizontal="center" vertical="center"/>
    </xf>
    <xf numFmtId="3" fontId="4" fillId="2" borderId="33" xfId="0" quotePrefix="1" applyNumberFormat="1" applyFont="1" applyFill="1" applyBorder="1" applyAlignment="1">
      <alignment horizontal="center" vertical="center"/>
    </xf>
    <xf numFmtId="3" fontId="6" fillId="2" borderId="84" xfId="0" applyNumberFormat="1" applyFont="1" applyFill="1" applyBorder="1" applyAlignment="1">
      <alignment horizontal="center" vertical="center" wrapText="1"/>
    </xf>
    <xf numFmtId="166" fontId="6" fillId="2" borderId="80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4" fillId="2" borderId="12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166" fontId="4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6" fillId="2" borderId="26" xfId="0" applyNumberFormat="1" applyFont="1" applyFill="1" applyBorder="1" applyAlignment="1">
      <alignment horizontal="center" vertical="center" wrapText="1"/>
    </xf>
    <xf numFmtId="166" fontId="6" fillId="2" borderId="27" xfId="0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8" xfId="2" applyNumberFormat="1" applyFont="1" applyFill="1" applyBorder="1" applyAlignment="1">
      <alignment horizontal="center" vertical="center" wrapText="1"/>
    </xf>
    <xf numFmtId="166" fontId="4" fillId="2" borderId="8" xfId="3" applyNumberFormat="1" applyFont="1" applyFill="1" applyBorder="1" applyAlignment="1">
      <alignment horizontal="center" vertical="center" wrapText="1"/>
    </xf>
    <xf numFmtId="166" fontId="4" fillId="2" borderId="45" xfId="0" applyNumberFormat="1" applyFont="1" applyFill="1" applyBorder="1" applyAlignment="1">
      <alignment horizontal="center" vertical="center" wrapText="1"/>
    </xf>
    <xf numFmtId="166" fontId="4" fillId="2" borderId="39" xfId="3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6" fontId="4" fillId="2" borderId="13" xfId="0" applyNumberFormat="1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2"/>
    </xf>
    <xf numFmtId="3" fontId="4" fillId="2" borderId="85" xfId="0" applyNumberFormat="1" applyFont="1" applyFill="1" applyBorder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3" fontId="6" fillId="2" borderId="50" xfId="0" applyNumberFormat="1" applyFont="1" applyFill="1" applyBorder="1" applyAlignment="1">
      <alignment horizontal="center" vertical="center"/>
    </xf>
    <xf numFmtId="166" fontId="6" fillId="2" borderId="3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3" fontId="4" fillId="2" borderId="61" xfId="0" applyNumberFormat="1" applyFont="1" applyFill="1" applyBorder="1" applyAlignment="1">
      <alignment horizontal="center" vertical="center"/>
    </xf>
    <xf numFmtId="166" fontId="4" fillId="2" borderId="62" xfId="0" applyNumberFormat="1" applyFont="1" applyFill="1" applyBorder="1" applyAlignment="1">
      <alignment horizontal="center" vertical="center"/>
    </xf>
    <xf numFmtId="3" fontId="4" fillId="2" borderId="73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166" fontId="4" fillId="2" borderId="17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4" fillId="2" borderId="74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8" fillId="3" borderId="2" xfId="0" quotePrefix="1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166" fontId="8" fillId="3" borderId="45" xfId="0" applyNumberFormat="1" applyFont="1" applyFill="1" applyBorder="1" applyAlignment="1">
      <alignment horizontal="center" vertical="center"/>
    </xf>
    <xf numFmtId="3" fontId="8" fillId="3" borderId="7" xfId="0" quotePrefix="1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wrapText="1"/>
    </xf>
    <xf numFmtId="3" fontId="8" fillId="3" borderId="9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3" borderId="45" xfId="0" applyNumberFormat="1" applyFont="1" applyFill="1" applyBorder="1" applyAlignment="1">
      <alignment horizontal="center" vertical="center"/>
    </xf>
    <xf numFmtId="3" fontId="8" fillId="3" borderId="51" xfId="0" applyNumberFormat="1" applyFont="1" applyFill="1" applyBorder="1" applyAlignment="1">
      <alignment horizontal="center" vertical="center"/>
    </xf>
    <xf numFmtId="3" fontId="8" fillId="3" borderId="46" xfId="0" applyNumberFormat="1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wrapText="1"/>
    </xf>
    <xf numFmtId="3" fontId="8" fillId="3" borderId="11" xfId="0" applyNumberFormat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54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166" fontId="8" fillId="3" borderId="0" xfId="0" applyNumberFormat="1" applyFont="1" applyFill="1" applyBorder="1" applyAlignment="1">
      <alignment horizontal="center" vertical="center"/>
    </xf>
    <xf numFmtId="3" fontId="8" fillId="3" borderId="0" xfId="0" quotePrefix="1" applyNumberFormat="1" applyFont="1" applyFill="1" applyBorder="1" applyAlignment="1">
      <alignment horizontal="center" vertical="center"/>
    </xf>
    <xf numFmtId="0" fontId="8" fillId="3" borderId="0" xfId="0" applyFont="1" applyFill="1" applyBorder="1"/>
    <xf numFmtId="0" fontId="8" fillId="3" borderId="19" xfId="0" applyFont="1" applyFill="1" applyBorder="1" applyAlignment="1">
      <alignment horizontal="left" wrapText="1" indent="3"/>
    </xf>
    <xf numFmtId="0" fontId="6" fillId="2" borderId="55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wrapText="1"/>
    </xf>
    <xf numFmtId="165" fontId="4" fillId="2" borderId="27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4" fillId="2" borderId="7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71" xfId="0" applyFont="1" applyFill="1" applyBorder="1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82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justify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165" fontId="8" fillId="2" borderId="10" xfId="0" applyNumberFormat="1" applyFont="1" applyFill="1" applyBorder="1" applyAlignment="1">
      <alignment horizontal="center" vertical="center" wrapText="1"/>
    </xf>
    <xf numFmtId="165" fontId="8" fillId="2" borderId="4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3" fontId="8" fillId="2" borderId="27" xfId="0" applyNumberFormat="1" applyFont="1" applyFill="1" applyBorder="1" applyAlignment="1">
      <alignment horizontal="center" vertical="center" wrapText="1"/>
    </xf>
    <xf numFmtId="165" fontId="10" fillId="2" borderId="27" xfId="0" applyNumberFormat="1" applyFont="1" applyFill="1" applyBorder="1" applyAlignment="1">
      <alignment horizontal="center" vertical="center" wrapText="1"/>
    </xf>
    <xf numFmtId="165" fontId="10" fillId="2" borderId="10" xfId="0" applyNumberFormat="1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65" fontId="10" fillId="2" borderId="49" xfId="0" applyNumberFormat="1" applyFont="1" applyFill="1" applyBorder="1" applyAlignment="1">
      <alignment horizontal="center" vertical="center" wrapText="1"/>
    </xf>
    <xf numFmtId="166" fontId="4" fillId="2" borderId="82" xfId="0" applyNumberFormat="1" applyFont="1" applyFill="1" applyBorder="1" applyAlignment="1">
      <alignment horizontal="center" vertical="center"/>
    </xf>
    <xf numFmtId="166" fontId="4" fillId="2" borderId="26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166" fontId="6" fillId="2" borderId="84" xfId="0" applyNumberFormat="1" applyFont="1" applyFill="1" applyBorder="1" applyAlignment="1">
      <alignment horizontal="center" vertical="center"/>
    </xf>
    <xf numFmtId="166" fontId="6" fillId="2" borderId="83" xfId="0" applyNumberFormat="1" applyFont="1" applyFill="1" applyBorder="1" applyAlignment="1">
      <alignment horizontal="center" vertical="center"/>
    </xf>
    <xf numFmtId="166" fontId="6" fillId="2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3" borderId="41" xfId="0" applyFont="1" applyFill="1" applyBorder="1" applyAlignment="1">
      <alignment wrapText="1"/>
    </xf>
    <xf numFmtId="3" fontId="8" fillId="3" borderId="82" xfId="0" applyNumberFormat="1" applyFont="1" applyFill="1" applyBorder="1" applyAlignment="1">
      <alignment horizontal="center" vertical="center"/>
    </xf>
    <xf numFmtId="3" fontId="8" fillId="3" borderId="26" xfId="0" quotePrefix="1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166" fontId="8" fillId="3" borderId="26" xfId="0" applyNumberFormat="1" applyFont="1" applyFill="1" applyBorder="1" applyAlignment="1">
      <alignment horizontal="center" vertical="center"/>
    </xf>
    <xf numFmtId="3" fontId="8" fillId="3" borderId="81" xfId="0" applyNumberFormat="1" applyFont="1" applyFill="1" applyBorder="1" applyAlignment="1">
      <alignment horizontal="center" vertical="center"/>
    </xf>
    <xf numFmtId="166" fontId="8" fillId="3" borderId="81" xfId="0" applyNumberFormat="1" applyFont="1" applyFill="1" applyBorder="1" applyAlignment="1">
      <alignment horizontal="center" vertical="center"/>
    </xf>
    <xf numFmtId="3" fontId="8" fillId="3" borderId="82" xfId="0" quotePrefix="1" applyNumberFormat="1" applyFont="1" applyFill="1" applyBorder="1" applyAlignment="1">
      <alignment horizontal="center" vertical="center"/>
    </xf>
    <xf numFmtId="166" fontId="8" fillId="3" borderId="54" xfId="0" applyNumberFormat="1" applyFont="1" applyFill="1" applyBorder="1" applyAlignment="1">
      <alignment horizontal="center" vertical="center"/>
    </xf>
    <xf numFmtId="166" fontId="8" fillId="3" borderId="26" xfId="0" quotePrefix="1" applyNumberFormat="1" applyFont="1" applyFill="1" applyBorder="1" applyAlignment="1">
      <alignment horizontal="center" vertical="center"/>
    </xf>
    <xf numFmtId="166" fontId="8" fillId="3" borderId="2" xfId="0" quotePrefix="1" applyNumberFormat="1" applyFont="1" applyFill="1" applyBorder="1" applyAlignment="1">
      <alignment horizontal="center" vertical="center"/>
    </xf>
    <xf numFmtId="166" fontId="8" fillId="3" borderId="27" xfId="0" quotePrefix="1" applyNumberFormat="1" applyFont="1" applyFill="1" applyBorder="1" applyAlignment="1">
      <alignment horizontal="center" vertical="center"/>
    </xf>
    <xf numFmtId="166" fontId="8" fillId="3" borderId="8" xfId="0" quotePrefix="1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wrapText="1"/>
    </xf>
    <xf numFmtId="3" fontId="6" fillId="2" borderId="82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/>
    </xf>
    <xf numFmtId="165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165" fontId="6" fillId="2" borderId="27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6" fillId="2" borderId="88" xfId="0" applyNumberFormat="1" applyFont="1" applyFill="1" applyBorder="1" applyAlignment="1">
      <alignment horizontal="center" vertical="center" wrapText="1"/>
    </xf>
    <xf numFmtId="3" fontId="6" fillId="2" borderId="89" xfId="0" applyNumberFormat="1" applyFont="1" applyFill="1" applyBorder="1" applyAlignment="1">
      <alignment horizontal="center" vertical="center" wrapText="1"/>
    </xf>
    <xf numFmtId="166" fontId="6" fillId="2" borderId="90" xfId="0" applyNumberFormat="1" applyFont="1" applyFill="1" applyBorder="1" applyAlignment="1">
      <alignment horizontal="center" vertical="center" wrapText="1"/>
    </xf>
    <xf numFmtId="166" fontId="6" fillId="2" borderId="91" xfId="0" applyNumberFormat="1" applyFont="1" applyFill="1" applyBorder="1" applyAlignment="1">
      <alignment horizontal="center" vertical="center" wrapText="1"/>
    </xf>
    <xf numFmtId="166" fontId="4" fillId="2" borderId="53" xfId="0" applyNumberFormat="1" applyFont="1" applyFill="1" applyBorder="1" applyAlignment="1">
      <alignment horizontal="center" vertical="center" wrapText="1"/>
    </xf>
    <xf numFmtId="166" fontId="4" fillId="2" borderId="47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6" fillId="2" borderId="77" xfId="0" applyNumberFormat="1" applyFont="1" applyFill="1" applyBorder="1" applyAlignment="1">
      <alignment horizontal="center" vertical="center" wrapText="1"/>
    </xf>
    <xf numFmtId="166" fontId="4" fillId="2" borderId="59" xfId="0" applyNumberFormat="1" applyFont="1" applyFill="1" applyBorder="1" applyAlignment="1">
      <alignment horizontal="center" vertical="center" wrapText="1"/>
    </xf>
    <xf numFmtId="166" fontId="6" fillId="2" borderId="56" xfId="0" applyNumberFormat="1" applyFont="1" applyFill="1" applyBorder="1" applyAlignment="1">
      <alignment horizontal="center" vertical="center"/>
    </xf>
    <xf numFmtId="166" fontId="6" fillId="2" borderId="6" xfId="3" applyNumberFormat="1" applyFont="1" applyFill="1" applyBorder="1" applyAlignment="1">
      <alignment horizontal="center" vertical="center" wrapText="1"/>
    </xf>
    <xf numFmtId="166" fontId="6" fillId="2" borderId="52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59" xfId="0" applyNumberFormat="1" applyFont="1" applyFill="1" applyBorder="1" applyAlignment="1">
      <alignment horizontal="center" vertical="center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72" xfId="0" applyNumberFormat="1" applyFont="1" applyFill="1" applyBorder="1" applyAlignment="1">
      <alignment horizontal="center" vertical="center"/>
    </xf>
    <xf numFmtId="166" fontId="6" fillId="2" borderId="89" xfId="0" applyNumberFormat="1" applyFont="1" applyFill="1" applyBorder="1" applyAlignment="1">
      <alignment horizontal="center" vertical="center" wrapText="1"/>
    </xf>
    <xf numFmtId="165" fontId="8" fillId="2" borderId="10" xfId="0" quotePrefix="1" applyNumberFormat="1" applyFont="1" applyFill="1" applyBorder="1" applyAlignment="1">
      <alignment horizontal="center" vertical="center" wrapText="1"/>
    </xf>
    <xf numFmtId="165" fontId="8" fillId="2" borderId="13" xfId="0" quotePrefix="1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/>
    <xf numFmtId="165" fontId="4" fillId="2" borderId="0" xfId="0" applyNumberFormat="1" applyFont="1" applyFill="1"/>
    <xf numFmtId="0" fontId="4" fillId="2" borderId="33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49" fontId="11" fillId="2" borderId="18" xfId="0" applyNumberFormat="1" applyFont="1" applyFill="1" applyBorder="1" applyAlignment="1">
      <alignment horizontal="left" vertical="center" wrapText="1" indent="1"/>
    </xf>
    <xf numFmtId="0" fontId="4" fillId="2" borderId="63" xfId="0" applyFont="1" applyFill="1" applyBorder="1" applyAlignment="1">
      <alignment horizontal="left" vertical="center" wrapText="1" indent="2"/>
    </xf>
    <xf numFmtId="3" fontId="4" fillId="2" borderId="7" xfId="0" quotePrefix="1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left" vertical="center" wrapText="1" indent="1"/>
    </xf>
    <xf numFmtId="3" fontId="5" fillId="2" borderId="94" xfId="0" applyNumberFormat="1" applyFont="1" applyFill="1" applyBorder="1" applyAlignment="1">
      <alignment horizontal="center" vertical="center" wrapText="1"/>
    </xf>
    <xf numFmtId="166" fontId="5" fillId="2" borderId="94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left" vertical="center" wrapText="1" indent="3"/>
    </xf>
    <xf numFmtId="0" fontId="12" fillId="2" borderId="67" xfId="0" applyFont="1" applyFill="1" applyBorder="1" applyAlignment="1">
      <alignment horizontal="left" vertical="center" wrapText="1" indent="3"/>
    </xf>
    <xf numFmtId="3" fontId="11" fillId="2" borderId="58" xfId="0" applyNumberFormat="1" applyFont="1" applyFill="1" applyBorder="1" applyAlignment="1">
      <alignment horizontal="center" vertical="center"/>
    </xf>
    <xf numFmtId="3" fontId="11" fillId="2" borderId="68" xfId="0" applyNumberFormat="1" applyFont="1" applyFill="1" applyBorder="1" applyAlignment="1">
      <alignment horizontal="center" vertical="center"/>
    </xf>
    <xf numFmtId="165" fontId="11" fillId="2" borderId="39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 wrapText="1"/>
    </xf>
    <xf numFmtId="49" fontId="6" fillId="2" borderId="55" xfId="0" applyNumberFormat="1" applyFont="1" applyFill="1" applyBorder="1" applyAlignment="1">
      <alignment horizontal="left" vertical="center" wrapText="1"/>
    </xf>
    <xf numFmtId="49" fontId="4" fillId="2" borderId="41" xfId="0" applyNumberFormat="1" applyFont="1" applyFill="1" applyBorder="1" applyAlignment="1">
      <alignment horizontal="left" vertical="center" wrapText="1" indent="3"/>
    </xf>
    <xf numFmtId="49" fontId="4" fillId="2" borderId="71" xfId="0" applyNumberFormat="1" applyFont="1" applyFill="1" applyBorder="1" applyAlignment="1">
      <alignment horizontal="left" vertical="center" wrapText="1" indent="3"/>
    </xf>
    <xf numFmtId="49" fontId="4" fillId="2" borderId="64" xfId="0" applyNumberFormat="1" applyFont="1" applyFill="1" applyBorder="1" applyAlignment="1">
      <alignment horizontal="left" vertical="center" wrapText="1" indent="5"/>
    </xf>
    <xf numFmtId="49" fontId="4" fillId="2" borderId="19" xfId="0" applyNumberFormat="1" applyFont="1" applyFill="1" applyBorder="1" applyAlignment="1">
      <alignment horizontal="left" vertical="center" wrapText="1" indent="5"/>
    </xf>
    <xf numFmtId="49" fontId="4" fillId="2" borderId="76" xfId="0" applyNumberFormat="1" applyFont="1" applyFill="1" applyBorder="1" applyAlignment="1">
      <alignment horizontal="left" vertical="center" wrapText="1" indent="5"/>
    </xf>
    <xf numFmtId="49" fontId="4" fillId="2" borderId="71" xfId="0" applyNumberFormat="1" applyFont="1" applyFill="1" applyBorder="1" applyAlignment="1">
      <alignment horizontal="left" vertical="center" wrapText="1" indent="5"/>
    </xf>
    <xf numFmtId="166" fontId="4" fillId="2" borderId="81" xfId="0" applyNumberFormat="1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 vertical="center"/>
    </xf>
    <xf numFmtId="166" fontId="4" fillId="2" borderId="53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/>
    </xf>
    <xf numFmtId="49" fontId="4" fillId="2" borderId="57" xfId="0" applyNumberFormat="1" applyFont="1" applyFill="1" applyBorder="1" applyAlignment="1">
      <alignment horizontal="left" vertical="center" wrapText="1"/>
    </xf>
    <xf numFmtId="49" fontId="4" fillId="2" borderId="56" xfId="0" applyNumberFormat="1" applyFont="1" applyFill="1" applyBorder="1" applyAlignment="1">
      <alignment horizontal="left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77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166" fontId="6" fillId="2" borderId="86" xfId="0" applyNumberFormat="1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/>
    </xf>
    <xf numFmtId="166" fontId="4" fillId="2" borderId="54" xfId="0" applyNumberFormat="1" applyFont="1" applyFill="1" applyBorder="1" applyAlignment="1">
      <alignment horizontal="center"/>
    </xf>
    <xf numFmtId="166" fontId="6" fillId="2" borderId="87" xfId="0" applyNumberFormat="1" applyFont="1" applyFill="1" applyBorder="1" applyAlignment="1">
      <alignment horizontal="center" vertical="center"/>
    </xf>
    <xf numFmtId="166" fontId="4" fillId="2" borderId="47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82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165" fontId="8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166" fontId="4" fillId="2" borderId="1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9" fontId="4" fillId="2" borderId="55" xfId="0" applyNumberFormat="1" applyFont="1" applyFill="1" applyBorder="1" applyAlignment="1">
      <alignment horizontal="left" vertical="center" wrapText="1" indent="2"/>
    </xf>
    <xf numFmtId="49" fontId="4" fillId="2" borderId="57" xfId="0" applyNumberFormat="1" applyFont="1" applyFill="1" applyBorder="1" applyAlignment="1">
      <alignment horizontal="left" vertical="center" wrapText="1" indent="2"/>
    </xf>
    <xf numFmtId="49" fontId="4" fillId="2" borderId="56" xfId="0" applyNumberFormat="1" applyFont="1" applyFill="1" applyBorder="1" applyAlignment="1">
      <alignment horizontal="left" vertical="center" wrapText="1" indent="2"/>
    </xf>
    <xf numFmtId="3" fontId="4" fillId="2" borderId="1" xfId="0" quotePrefix="1" applyNumberFormat="1" applyFont="1" applyFill="1" applyBorder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3" fontId="6" fillId="2" borderId="95" xfId="0" applyNumberFormat="1" applyFont="1" applyFill="1" applyBorder="1" applyAlignment="1">
      <alignment horizontal="center" vertical="center" wrapText="1"/>
    </xf>
    <xf numFmtId="3" fontId="8" fillId="2" borderId="5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6" fontId="4" fillId="2" borderId="18" xfId="0" applyNumberFormat="1" applyFont="1" applyFill="1" applyBorder="1" applyAlignment="1">
      <alignment horizontal="center" vertical="center"/>
    </xf>
    <xf numFmtId="166" fontId="4" fillId="2" borderId="33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wrapText="1"/>
    </xf>
    <xf numFmtId="166" fontId="6" fillId="2" borderId="0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166" fontId="4" fillId="2" borderId="0" xfId="0" applyNumberFormat="1" applyFont="1" applyFill="1" applyBorder="1" applyAlignment="1">
      <alignment horizontal="center"/>
    </xf>
    <xf numFmtId="165" fontId="0" fillId="2" borderId="0" xfId="0" applyNumberFormat="1" applyFont="1" applyFill="1" applyAlignment="1">
      <alignment horizontal="left" vertical="center"/>
    </xf>
    <xf numFmtId="166" fontId="4" fillId="2" borderId="8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/>
    </xf>
    <xf numFmtId="166" fontId="8" fillId="3" borderId="0" xfId="0" quotePrefix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166" fontId="4" fillId="2" borderId="7" xfId="0" applyNumberFormat="1" applyFont="1" applyFill="1" applyBorder="1" applyAlignment="1">
      <alignment horizontal="center" vertical="center"/>
    </xf>
    <xf numFmtId="166" fontId="4" fillId="2" borderId="34" xfId="0" applyNumberFormat="1" applyFont="1" applyFill="1" applyBorder="1" applyAlignment="1">
      <alignment horizontal="center" vertical="center"/>
    </xf>
    <xf numFmtId="3" fontId="4" fillId="2" borderId="35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1" fontId="8" fillId="2" borderId="32" xfId="0" applyNumberFormat="1" applyFont="1" applyFill="1" applyBorder="1" applyAlignment="1">
      <alignment horizontal="center" vertical="center" wrapText="1"/>
    </xf>
    <xf numFmtId="1" fontId="8" fillId="2" borderId="18" xfId="0" applyNumberFormat="1" applyFont="1" applyFill="1" applyBorder="1" applyAlignment="1">
      <alignment horizontal="center" vertical="center" wrapText="1"/>
    </xf>
    <xf numFmtId="1" fontId="8" fillId="2" borderId="63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/>
    </xf>
    <xf numFmtId="1" fontId="8" fillId="2" borderId="18" xfId="0" quotePrefix="1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left"/>
    </xf>
    <xf numFmtId="165" fontId="8" fillId="2" borderId="10" xfId="0" quotePrefix="1" applyNumberFormat="1" applyFont="1" applyFill="1" applyBorder="1" applyAlignment="1">
      <alignment horizontal="left" vertical="center" wrapText="1"/>
    </xf>
    <xf numFmtId="165" fontId="9" fillId="2" borderId="0" xfId="2" applyNumberFormat="1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vertical="center" wrapText="1"/>
    </xf>
    <xf numFmtId="3" fontId="6" fillId="2" borderId="35" xfId="0" applyNumberFormat="1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4" fillId="2" borderId="84" xfId="0" applyNumberFormat="1" applyFont="1" applyFill="1" applyBorder="1" applyAlignment="1">
      <alignment horizontal="center" vertical="center"/>
    </xf>
    <xf numFmtId="3" fontId="4" fillId="2" borderId="80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 indent="1"/>
    </xf>
    <xf numFmtId="3" fontId="8" fillId="3" borderId="29" xfId="0" quotePrefix="1" applyNumberFormat="1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/>
    </xf>
    <xf numFmtId="3" fontId="8" fillId="3" borderId="35" xfId="0" quotePrefix="1" applyNumberFormat="1" applyFont="1" applyFill="1" applyBorder="1" applyAlignment="1">
      <alignment horizontal="center" vertical="center"/>
    </xf>
    <xf numFmtId="166" fontId="8" fillId="3" borderId="10" xfId="0" applyNumberFormat="1" applyFont="1" applyFill="1" applyBorder="1" applyAlignment="1">
      <alignment horizontal="center" vertical="center"/>
    </xf>
    <xf numFmtId="166" fontId="8" fillId="3" borderId="13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 wrapText="1"/>
    </xf>
    <xf numFmtId="3" fontId="4" fillId="2" borderId="82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5" fillId="2" borderId="0" xfId="0" applyFont="1" applyFill="1"/>
    <xf numFmtId="2" fontId="9" fillId="2" borderId="55" xfId="0" quotePrefix="1" applyNumberFormat="1" applyFont="1" applyFill="1" applyBorder="1" applyAlignment="1">
      <alignment horizontal="center" vertical="center" wrapText="1"/>
    </xf>
    <xf numFmtId="0" fontId="14" fillId="2" borderId="97" xfId="5" quotePrefix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left" vertical="center" wrapText="1"/>
    </xf>
    <xf numFmtId="0" fontId="14" fillId="2" borderId="49" xfId="5" quotePrefix="1" applyFill="1" applyBorder="1" applyAlignment="1">
      <alignment horizontal="left" vertical="center" wrapText="1"/>
    </xf>
    <xf numFmtId="0" fontId="2" fillId="2" borderId="97" xfId="6" quotePrefix="1" applyFill="1" applyBorder="1" applyAlignment="1">
      <alignment horizontal="center" vertical="center" wrapText="1"/>
    </xf>
    <xf numFmtId="0" fontId="2" fillId="2" borderId="49" xfId="6" quotePrefix="1" applyFill="1" applyBorder="1" applyAlignment="1">
      <alignment horizontal="left" vertical="center" wrapText="1"/>
    </xf>
    <xf numFmtId="0" fontId="14" fillId="2" borderId="97" xfId="7" quotePrefix="1" applyFill="1" applyBorder="1" applyAlignment="1">
      <alignment horizontal="center" vertical="center" wrapText="1"/>
    </xf>
    <xf numFmtId="0" fontId="14" fillId="2" borderId="49" xfId="7" quotePrefix="1" applyFill="1" applyBorder="1" applyAlignment="1">
      <alignment horizontal="left" vertical="center" wrapText="1"/>
    </xf>
    <xf numFmtId="0" fontId="14" fillId="2" borderId="98" xfId="5" quotePrefix="1" applyFill="1" applyBorder="1" applyAlignment="1">
      <alignment horizontal="center" vertical="center" wrapText="1"/>
    </xf>
    <xf numFmtId="0" fontId="14" fillId="2" borderId="99" xfId="5" quotePrefix="1" applyFill="1" applyBorder="1" applyAlignment="1">
      <alignment horizontal="left" vertical="center" wrapText="1"/>
    </xf>
    <xf numFmtId="0" fontId="20" fillId="2" borderId="0" xfId="0" applyFont="1" applyFill="1"/>
    <xf numFmtId="0" fontId="21" fillId="2" borderId="0" xfId="0" applyFont="1" applyFill="1"/>
    <xf numFmtId="0" fontId="7" fillId="2" borderId="34" xfId="0" applyFont="1" applyFill="1" applyBorder="1" applyAlignment="1">
      <alignment horizontal="left" vertical="center" wrapText="1"/>
    </xf>
    <xf numFmtId="165" fontId="7" fillId="2" borderId="35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165" fontId="7" fillId="2" borderId="3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3" fontId="17" fillId="4" borderId="1" xfId="0" applyNumberFormat="1" applyFont="1" applyFill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97" xfId="0" applyFont="1" applyFill="1" applyBorder="1" applyAlignment="1">
      <alignment vertical="center" wrapText="1"/>
    </xf>
    <xf numFmtId="0" fontId="8" fillId="2" borderId="71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left"/>
    </xf>
    <xf numFmtId="165" fontId="5" fillId="2" borderId="0" xfId="0" applyNumberFormat="1" applyFont="1" applyFill="1" applyBorder="1" applyAlignment="1">
      <alignment horizontal="center"/>
    </xf>
    <xf numFmtId="1" fontId="4" fillId="2" borderId="33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left"/>
    </xf>
    <xf numFmtId="165" fontId="4" fillId="2" borderId="13" xfId="0" applyNumberFormat="1" applyFont="1" applyFill="1" applyBorder="1" applyAlignment="1">
      <alignment horizontal="center"/>
    </xf>
    <xf numFmtId="0" fontId="14" fillId="2" borderId="69" xfId="5" quotePrefix="1" applyFill="1" applyBorder="1" applyAlignment="1">
      <alignment horizontal="center" vertical="center" wrapText="1"/>
    </xf>
    <xf numFmtId="3" fontId="9" fillId="2" borderId="28" xfId="2" applyNumberFormat="1" applyFont="1" applyFill="1" applyBorder="1" applyAlignment="1">
      <alignment horizontal="center" vertical="center" wrapText="1"/>
    </xf>
    <xf numFmtId="3" fontId="8" fillId="2" borderId="35" xfId="2" applyNumberFormat="1" applyFont="1" applyFill="1" applyBorder="1" applyAlignment="1">
      <alignment horizontal="center" vertical="center" wrapText="1"/>
    </xf>
    <xf numFmtId="3" fontId="8" fillId="2" borderId="30" xfId="2" applyNumberFormat="1" applyFont="1" applyFill="1" applyBorder="1" applyAlignment="1">
      <alignment horizontal="center" vertical="center" wrapText="1"/>
    </xf>
    <xf numFmtId="3" fontId="8" fillId="2" borderId="74" xfId="2" applyNumberFormat="1" applyFont="1" applyFill="1" applyBorder="1" applyAlignment="1">
      <alignment horizontal="center" vertical="center" wrapText="1"/>
    </xf>
    <xf numFmtId="0" fontId="14" fillId="2" borderId="25" xfId="5" quotePrefix="1" applyFill="1" applyBorder="1" applyAlignment="1">
      <alignment horizontal="left" vertical="center" wrapText="1"/>
    </xf>
    <xf numFmtId="3" fontId="9" fillId="2" borderId="52" xfId="2" applyNumberFormat="1" applyFont="1" applyFill="1" applyBorder="1" applyAlignment="1">
      <alignment horizontal="center" vertical="center" wrapText="1"/>
    </xf>
    <xf numFmtId="3" fontId="8" fillId="2" borderId="53" xfId="2" applyNumberFormat="1" applyFont="1" applyFill="1" applyBorder="1" applyAlignment="1">
      <alignment horizontal="center" vertical="center" wrapText="1"/>
    </xf>
    <xf numFmtId="3" fontId="8" fillId="2" borderId="45" xfId="2" applyNumberFormat="1" applyFont="1" applyFill="1" applyBorder="1" applyAlignment="1">
      <alignment horizontal="center" vertical="center" wrapText="1"/>
    </xf>
    <xf numFmtId="3" fontId="8" fillId="2" borderId="46" xfId="2" applyNumberFormat="1" applyFont="1" applyFill="1" applyBorder="1" applyAlignment="1">
      <alignment horizontal="center" vertical="center" wrapText="1"/>
    </xf>
    <xf numFmtId="165" fontId="9" fillId="2" borderId="3" xfId="2" applyNumberFormat="1" applyFont="1" applyFill="1" applyBorder="1" applyAlignment="1">
      <alignment horizontal="center" vertical="center" wrapText="1"/>
    </xf>
    <xf numFmtId="166" fontId="8" fillId="2" borderId="34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vertical="center" wrapText="1"/>
    </xf>
    <xf numFmtId="166" fontId="8" fillId="2" borderId="63" xfId="2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 vertical="center" wrapText="1"/>
    </xf>
    <xf numFmtId="3" fontId="23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3" fontId="23" fillId="2" borderId="0" xfId="0" applyNumberFormat="1" applyFont="1" applyFill="1" applyAlignment="1">
      <alignment horizontal="center"/>
    </xf>
    <xf numFmtId="3" fontId="23" fillId="2" borderId="100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0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4" fillId="5" borderId="0" xfId="0" applyFont="1" applyFill="1"/>
    <xf numFmtId="0" fontId="4" fillId="2" borderId="0" xfId="0" quotePrefix="1" applyFont="1" applyFill="1"/>
    <xf numFmtId="0" fontId="5" fillId="2" borderId="3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5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wrapText="1"/>
    </xf>
    <xf numFmtId="14" fontId="4" fillId="2" borderId="58" xfId="0" applyNumberFormat="1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/>
    </xf>
    <xf numFmtId="3" fontId="4" fillId="2" borderId="10" xfId="0" quotePrefix="1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66" fontId="4" fillId="2" borderId="10" xfId="0" quotePrefix="1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0" xfId="0" quotePrefix="1" applyNumberFormat="1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3" fontId="4" fillId="2" borderId="30" xfId="0" quotePrefix="1" applyNumberFormat="1" applyFont="1" applyFill="1" applyBorder="1" applyAlignment="1">
      <alignment horizontal="center" vertical="center"/>
    </xf>
    <xf numFmtId="1" fontId="4" fillId="2" borderId="30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1" fontId="4" fillId="2" borderId="30" xfId="0" quotePrefix="1" applyNumberFormat="1" applyFont="1" applyFill="1" applyBorder="1" applyAlignment="1">
      <alignment horizontal="center" vertical="center"/>
    </xf>
    <xf numFmtId="1" fontId="4" fillId="2" borderId="74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 wrapText="1"/>
    </xf>
    <xf numFmtId="3" fontId="10" fillId="2" borderId="74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8" fillId="2" borderId="0" xfId="0" applyFont="1" applyFill="1"/>
    <xf numFmtId="3" fontId="4" fillId="2" borderId="65" xfId="0" applyNumberFormat="1" applyFont="1" applyFill="1" applyBorder="1" applyAlignment="1">
      <alignment horizontal="center" vertical="center"/>
    </xf>
    <xf numFmtId="166" fontId="5" fillId="2" borderId="65" xfId="0" applyNumberFormat="1" applyFont="1" applyFill="1" applyBorder="1" applyAlignment="1">
      <alignment horizontal="center" vertical="center"/>
    </xf>
    <xf numFmtId="166" fontId="4" fillId="2" borderId="65" xfId="0" applyNumberFormat="1" applyFont="1" applyFill="1" applyBorder="1" applyAlignment="1">
      <alignment horizontal="center" vertical="center"/>
    </xf>
    <xf numFmtId="3" fontId="4" fillId="2" borderId="65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 applyBorder="1" applyAlignment="1">
      <alignment horizontal="center" vertical="center"/>
    </xf>
    <xf numFmtId="0" fontId="4" fillId="2" borderId="48" xfId="0" applyFont="1" applyFill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92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3" fontId="17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center" wrapText="1"/>
    </xf>
    <xf numFmtId="3" fontId="4" fillId="2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14" fontId="4" fillId="6" borderId="4" xfId="0" applyNumberFormat="1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166" fontId="6" fillId="6" borderId="4" xfId="0" applyNumberFormat="1" applyFont="1" applyFill="1" applyBorder="1" applyAlignment="1">
      <alignment horizontal="center" vertical="center"/>
    </xf>
    <xf numFmtId="166" fontId="6" fillId="6" borderId="3" xfId="0" applyNumberFormat="1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15" fontId="24" fillId="7" borderId="1" xfId="0" applyNumberFormat="1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3" fontId="4" fillId="7" borderId="10" xfId="0" applyNumberFormat="1" applyFont="1" applyFill="1" applyBorder="1" applyAlignment="1">
      <alignment horizontal="center" vertical="center"/>
    </xf>
    <xf numFmtId="166" fontId="4" fillId="7" borderId="9" xfId="0" applyNumberFormat="1" applyFont="1" applyFill="1" applyBorder="1" applyAlignment="1">
      <alignment horizontal="center" vertical="center"/>
    </xf>
    <xf numFmtId="166" fontId="4" fillId="7" borderId="18" xfId="0" applyNumberFormat="1" applyFont="1" applyFill="1" applyBorder="1" applyAlignment="1">
      <alignment horizontal="center" vertical="center"/>
    </xf>
    <xf numFmtId="166" fontId="4" fillId="7" borderId="10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9" fontId="7" fillId="6" borderId="28" xfId="0" applyNumberFormat="1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left" vertical="center" wrapText="1"/>
    </xf>
    <xf numFmtId="0" fontId="4" fillId="8" borderId="24" xfId="0" applyFont="1" applyFill="1" applyBorder="1" applyAlignment="1">
      <alignment horizontal="left" vertical="center" wrapText="1"/>
    </xf>
    <xf numFmtId="0" fontId="4" fillId="8" borderId="44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left" vertical="center" wrapText="1"/>
    </xf>
    <xf numFmtId="3" fontId="6" fillId="8" borderId="4" xfId="0" applyNumberFormat="1" applyFont="1" applyFill="1" applyBorder="1" applyAlignment="1">
      <alignment horizontal="center" vertical="center"/>
    </xf>
    <xf numFmtId="3" fontId="6" fillId="8" borderId="5" xfId="0" applyNumberFormat="1" applyFont="1" applyFill="1" applyBorder="1" applyAlignment="1">
      <alignment horizontal="center" vertical="center"/>
    </xf>
    <xf numFmtId="166" fontId="6" fillId="8" borderId="6" xfId="0" applyNumberFormat="1" applyFont="1" applyFill="1" applyBorder="1" applyAlignment="1">
      <alignment horizontal="center" vertical="center"/>
    </xf>
    <xf numFmtId="3" fontId="6" fillId="8" borderId="3" xfId="0" applyNumberFormat="1" applyFont="1" applyFill="1" applyBorder="1" applyAlignment="1">
      <alignment horizontal="center" vertical="center"/>
    </xf>
    <xf numFmtId="3" fontId="6" fillId="8" borderId="28" xfId="0" applyNumberFormat="1" applyFont="1" applyFill="1" applyBorder="1" applyAlignment="1">
      <alignment horizontal="center" vertical="center"/>
    </xf>
    <xf numFmtId="3" fontId="6" fillId="8" borderId="6" xfId="0" applyNumberFormat="1" applyFont="1" applyFill="1" applyBorder="1" applyAlignment="1">
      <alignment horizontal="center" vertical="center"/>
    </xf>
    <xf numFmtId="3" fontId="6" fillId="8" borderId="4" xfId="0" quotePrefix="1" applyNumberFormat="1" applyFont="1" applyFill="1" applyBorder="1" applyAlignment="1">
      <alignment horizontal="center" vertical="center" wrapText="1"/>
    </xf>
    <xf numFmtId="3" fontId="6" fillId="8" borderId="6" xfId="0" quotePrefix="1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0" fontId="5" fillId="7" borderId="18" xfId="0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center" vertical="center" wrapText="1"/>
    </xf>
    <xf numFmtId="3" fontId="4" fillId="7" borderId="18" xfId="0" applyNumberFormat="1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33" xfId="0" applyFont="1" applyFill="1" applyBorder="1" applyAlignment="1">
      <alignment horizontal="center" vertical="center"/>
    </xf>
    <xf numFmtId="3" fontId="4" fillId="9" borderId="9" xfId="0" applyNumberFormat="1" applyFont="1" applyFill="1" applyBorder="1" applyAlignment="1">
      <alignment horizontal="center" vertical="center"/>
    </xf>
    <xf numFmtId="3" fontId="4" fillId="9" borderId="18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left" vertical="center" wrapText="1"/>
    </xf>
    <xf numFmtId="0" fontId="5" fillId="10" borderId="18" xfId="0" applyFont="1" applyFill="1" applyBorder="1"/>
    <xf numFmtId="166" fontId="4" fillId="10" borderId="10" xfId="0" applyNumberFormat="1" applyFont="1" applyFill="1" applyBorder="1" applyAlignment="1">
      <alignment horizontal="center" vertical="center"/>
    </xf>
    <xf numFmtId="3" fontId="4" fillId="10" borderId="9" xfId="0" applyNumberFormat="1" applyFont="1" applyFill="1" applyBorder="1" applyAlignment="1">
      <alignment horizontal="center" vertical="center" wrapText="1"/>
    </xf>
    <xf numFmtId="3" fontId="4" fillId="10" borderId="18" xfId="0" applyNumberFormat="1" applyFont="1" applyFill="1" applyBorder="1" applyAlignment="1">
      <alignment horizontal="center" vertical="center" wrapText="1"/>
    </xf>
    <xf numFmtId="0" fontId="5" fillId="10" borderId="33" xfId="0" applyFont="1" applyFill="1" applyBorder="1"/>
    <xf numFmtId="166" fontId="4" fillId="10" borderId="13" xfId="0" applyNumberFormat="1" applyFont="1" applyFill="1" applyBorder="1" applyAlignment="1">
      <alignment horizontal="center" vertical="center"/>
    </xf>
    <xf numFmtId="3" fontId="4" fillId="10" borderId="11" xfId="0" applyNumberFormat="1" applyFont="1" applyFill="1" applyBorder="1" applyAlignment="1">
      <alignment horizontal="center" vertical="center" wrapText="1"/>
    </xf>
    <xf numFmtId="3" fontId="4" fillId="10" borderId="33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Alignment="1">
      <alignment horizontal="center" vertical="center"/>
    </xf>
    <xf numFmtId="0" fontId="4" fillId="9" borderId="58" xfId="0" applyFont="1" applyFill="1" applyBorder="1" applyAlignment="1">
      <alignment horizontal="center" vertical="center" wrapText="1"/>
    </xf>
    <xf numFmtId="49" fontId="4" fillId="9" borderId="34" xfId="0" applyNumberFormat="1" applyFont="1" applyFill="1" applyBorder="1" applyAlignment="1">
      <alignment horizontal="left" vertical="center" wrapText="1"/>
    </xf>
    <xf numFmtId="3" fontId="4" fillId="9" borderId="7" xfId="0" applyNumberFormat="1" applyFont="1" applyFill="1" applyBorder="1" applyAlignment="1">
      <alignment horizontal="center" vertical="center"/>
    </xf>
    <xf numFmtId="166" fontId="4" fillId="9" borderId="77" xfId="0" applyNumberFormat="1" applyFont="1" applyFill="1" applyBorder="1" applyAlignment="1">
      <alignment horizontal="center" vertical="center"/>
    </xf>
    <xf numFmtId="3" fontId="4" fillId="9" borderId="34" xfId="0" applyNumberFormat="1" applyFont="1" applyFill="1" applyBorder="1" applyAlignment="1">
      <alignment horizontal="center" vertical="center"/>
    </xf>
    <xf numFmtId="49" fontId="4" fillId="9" borderId="18" xfId="0" applyNumberFormat="1" applyFont="1" applyFill="1" applyBorder="1" applyAlignment="1">
      <alignment horizontal="left" vertical="center" wrapText="1"/>
    </xf>
    <xf numFmtId="166" fontId="4" fillId="9" borderId="21" xfId="0" applyNumberFormat="1" applyFont="1" applyFill="1" applyBorder="1" applyAlignment="1">
      <alignment horizontal="center" vertical="center"/>
    </xf>
    <xf numFmtId="49" fontId="4" fillId="9" borderId="79" xfId="0" applyNumberFormat="1" applyFont="1" applyFill="1" applyBorder="1" applyAlignment="1">
      <alignment horizontal="left" vertical="center" wrapText="1"/>
    </xf>
    <xf numFmtId="3" fontId="4" fillId="9" borderId="75" xfId="0" applyNumberFormat="1" applyFont="1" applyFill="1" applyBorder="1" applyAlignment="1">
      <alignment horizontal="center" vertical="center"/>
    </xf>
    <xf numFmtId="166" fontId="4" fillId="9" borderId="70" xfId="0" applyNumberFormat="1" applyFont="1" applyFill="1" applyBorder="1" applyAlignment="1">
      <alignment horizontal="center" vertical="center"/>
    </xf>
    <xf numFmtId="3" fontId="4" fillId="9" borderId="79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 wrapText="1"/>
    </xf>
    <xf numFmtId="3" fontId="6" fillId="9" borderId="4" xfId="0" applyNumberFormat="1" applyFont="1" applyFill="1" applyBorder="1" applyAlignment="1">
      <alignment horizontal="center" vertical="center"/>
    </xf>
    <xf numFmtId="166" fontId="6" fillId="9" borderId="56" xfId="0" applyNumberFormat="1" applyFont="1" applyFill="1" applyBorder="1" applyAlignment="1">
      <alignment horizontal="center" vertical="center"/>
    </xf>
    <xf numFmtId="3" fontId="6" fillId="9" borderId="3" xfId="0" applyNumberFormat="1" applyFont="1" applyFill="1" applyBorder="1" applyAlignment="1">
      <alignment horizontal="center" vertical="center"/>
    </xf>
    <xf numFmtId="49" fontId="6" fillId="9" borderId="4" xfId="0" applyNumberFormat="1" applyFont="1" applyFill="1" applyBorder="1" applyAlignment="1">
      <alignment horizontal="left" vertical="center" wrapText="1"/>
    </xf>
    <xf numFmtId="3" fontId="6" fillId="9" borderId="4" xfId="0" applyNumberFormat="1" applyFont="1" applyFill="1" applyBorder="1" applyAlignment="1">
      <alignment horizontal="center" vertical="center" wrapText="1"/>
    </xf>
    <xf numFmtId="166" fontId="6" fillId="9" borderId="56" xfId="0" applyNumberFormat="1" applyFont="1" applyFill="1" applyBorder="1" applyAlignment="1">
      <alignment horizontal="center" vertical="center" wrapText="1"/>
    </xf>
    <xf numFmtId="3" fontId="6" fillId="9" borderId="3" xfId="0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12" xfId="2" applyNumberFormat="1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31" xfId="0" applyFont="1" applyFill="1" applyBorder="1" applyAlignment="1">
      <alignment horizontal="center" vertical="center" wrapText="1"/>
    </xf>
    <xf numFmtId="14" fontId="4" fillId="8" borderId="12" xfId="0" applyNumberFormat="1" applyFont="1" applyFill="1" applyBorder="1" applyAlignment="1">
      <alignment horizontal="center" vertical="center" wrapText="1"/>
    </xf>
    <xf numFmtId="14" fontId="4" fillId="8" borderId="11" xfId="0" applyNumberFormat="1" applyFont="1" applyFill="1" applyBorder="1" applyAlignment="1">
      <alignment horizontal="center" vertical="center" wrapText="1"/>
    </xf>
    <xf numFmtId="14" fontId="4" fillId="8" borderId="13" xfId="0" applyNumberFormat="1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14" fontId="4" fillId="9" borderId="55" xfId="0" applyNumberFormat="1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166" fontId="4" fillId="9" borderId="0" xfId="0" applyNumberFormat="1" applyFont="1" applyFill="1" applyAlignment="1">
      <alignment horizontal="center" vertical="center"/>
    </xf>
    <xf numFmtId="14" fontId="4" fillId="9" borderId="0" xfId="0" applyNumberFormat="1" applyFont="1" applyFill="1" applyAlignment="1">
      <alignment horizontal="center" vertical="center"/>
    </xf>
    <xf numFmtId="0" fontId="4" fillId="11" borderId="92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14" fontId="4" fillId="8" borderId="50" xfId="0" applyNumberFormat="1" applyFont="1" applyFill="1" applyBorder="1" applyAlignment="1">
      <alignment horizontal="center" vertical="center" wrapText="1"/>
    </xf>
    <xf numFmtId="3" fontId="11" fillId="8" borderId="50" xfId="0" applyNumberFormat="1" applyFont="1" applyFill="1" applyBorder="1" applyAlignment="1">
      <alignment horizontal="center" vertical="center"/>
    </xf>
    <xf numFmtId="3" fontId="4" fillId="8" borderId="82" xfId="0" applyNumberFormat="1" applyFont="1" applyFill="1" applyBorder="1" applyAlignment="1">
      <alignment horizontal="center" vertical="center"/>
    </xf>
    <xf numFmtId="3" fontId="4" fillId="8" borderId="9" xfId="0" applyNumberFormat="1" applyFont="1" applyFill="1" applyBorder="1" applyAlignment="1">
      <alignment horizontal="center" vertical="center"/>
    </xf>
    <xf numFmtId="3" fontId="4" fillId="8" borderId="11" xfId="0" applyNumberFormat="1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0" fontId="8" fillId="12" borderId="31" xfId="0" applyFont="1" applyFill="1" applyBorder="1" applyAlignment="1">
      <alignment horizontal="center" vertical="center"/>
    </xf>
    <xf numFmtId="0" fontId="8" fillId="12" borderId="13" xfId="0" applyFont="1" applyFill="1" applyBorder="1" applyAlignment="1">
      <alignment horizontal="center" vertical="center"/>
    </xf>
    <xf numFmtId="0" fontId="8" fillId="13" borderId="31" xfId="0" applyFont="1" applyFill="1" applyBorder="1" applyAlignment="1">
      <alignment horizontal="center" vertical="center"/>
    </xf>
    <xf numFmtId="0" fontId="8" fillId="13" borderId="13" xfId="0" applyFont="1" applyFill="1" applyBorder="1" applyAlignment="1">
      <alignment horizontal="center" vertical="center"/>
    </xf>
    <xf numFmtId="0" fontId="8" fillId="13" borderId="12" xfId="0" applyFont="1" applyFill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11" fillId="8" borderId="69" xfId="0" applyFont="1" applyFill="1" applyBorder="1" applyAlignment="1">
      <alignment wrapText="1"/>
    </xf>
    <xf numFmtId="3" fontId="4" fillId="8" borderId="0" xfId="0" applyNumberFormat="1" applyFont="1" applyFill="1" applyBorder="1" applyAlignment="1">
      <alignment horizontal="center" vertical="center" wrapText="1"/>
    </xf>
    <xf numFmtId="166" fontId="4" fillId="8" borderId="0" xfId="0" applyNumberFormat="1" applyFont="1" applyFill="1" applyBorder="1" applyAlignment="1">
      <alignment horizontal="center" vertical="center" wrapText="1"/>
    </xf>
    <xf numFmtId="3" fontId="4" fillId="8" borderId="0" xfId="0" applyNumberFormat="1" applyFont="1" applyFill="1" applyBorder="1" applyAlignment="1">
      <alignment horizontal="center"/>
    </xf>
    <xf numFmtId="165" fontId="4" fillId="8" borderId="0" xfId="0" applyNumberFormat="1" applyFont="1" applyFill="1" applyBorder="1" applyAlignment="1">
      <alignment horizontal="center"/>
    </xf>
    <xf numFmtId="165" fontId="4" fillId="8" borderId="80" xfId="0" applyNumberFormat="1" applyFont="1" applyFill="1" applyBorder="1" applyAlignment="1">
      <alignment horizontal="center"/>
    </xf>
    <xf numFmtId="166" fontId="4" fillId="8" borderId="68" xfId="0" applyNumberFormat="1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166" fontId="6" fillId="10" borderId="90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8" borderId="65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 wrapText="1"/>
    </xf>
    <xf numFmtId="166" fontId="6" fillId="8" borderId="96" xfId="0" applyNumberFormat="1" applyFont="1" applyFill="1" applyBorder="1" applyAlignment="1">
      <alignment horizontal="center" vertical="center" wrapText="1"/>
    </xf>
    <xf numFmtId="166" fontId="4" fillId="8" borderId="8" xfId="0" applyNumberFormat="1" applyFont="1" applyFill="1" applyBorder="1" applyAlignment="1">
      <alignment horizontal="center" vertical="center" wrapText="1"/>
    </xf>
    <xf numFmtId="166" fontId="4" fillId="8" borderId="10" xfId="0" applyNumberFormat="1" applyFont="1" applyFill="1" applyBorder="1" applyAlignment="1">
      <alignment horizontal="center" vertical="center" wrapText="1"/>
    </xf>
    <xf numFmtId="166" fontId="4" fillId="8" borderId="13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wrapText="1"/>
    </xf>
    <xf numFmtId="0" fontId="18" fillId="2" borderId="0" xfId="0" applyFont="1" applyFill="1" applyAlignment="1">
      <alignment horizontal="left" vertical="center"/>
    </xf>
    <xf numFmtId="0" fontId="27" fillId="2" borderId="0" xfId="0" applyFont="1" applyFill="1"/>
    <xf numFmtId="0" fontId="18" fillId="2" borderId="0" xfId="0" applyFont="1" applyFill="1" applyAlignment="1"/>
    <xf numFmtId="3" fontId="6" fillId="2" borderId="101" xfId="0" applyNumberFormat="1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2" fontId="8" fillId="9" borderId="64" xfId="0" applyNumberFormat="1" applyFont="1" applyFill="1" applyBorder="1" applyAlignment="1">
      <alignment horizontal="center" vertical="center" wrapText="1"/>
    </xf>
    <xf numFmtId="0" fontId="4" fillId="9" borderId="69" xfId="0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wrapText="1"/>
    </xf>
    <xf numFmtId="2" fontId="8" fillId="9" borderId="92" xfId="0" applyNumberFormat="1" applyFont="1" applyFill="1" applyBorder="1" applyAlignment="1">
      <alignment horizontal="center" vertical="center" wrapText="1"/>
    </xf>
    <xf numFmtId="0" fontId="4" fillId="9" borderId="85" xfId="0" applyFont="1" applyFill="1" applyBorder="1" applyAlignment="1">
      <alignment horizontal="center" vertical="center" wrapText="1"/>
    </xf>
    <xf numFmtId="2" fontId="8" fillId="9" borderId="87" xfId="0" applyNumberFormat="1" applyFont="1" applyFill="1" applyBorder="1" applyAlignment="1">
      <alignment horizontal="center" vertical="center" wrapText="1"/>
    </xf>
    <xf numFmtId="0" fontId="4" fillId="9" borderId="86" xfId="0" applyFont="1" applyFill="1" applyBorder="1" applyAlignment="1">
      <alignment horizontal="center" vertical="center" wrapText="1"/>
    </xf>
    <xf numFmtId="165" fontId="4" fillId="9" borderId="32" xfId="0" applyNumberFormat="1" applyFont="1" applyFill="1" applyBorder="1" applyAlignment="1">
      <alignment horizontal="center" vertical="center"/>
    </xf>
    <xf numFmtId="3" fontId="4" fillId="9" borderId="81" xfId="0" applyNumberFormat="1" applyFont="1" applyFill="1" applyBorder="1" applyAlignment="1">
      <alignment horizontal="center" vertical="center"/>
    </xf>
    <xf numFmtId="2" fontId="8" fillId="9" borderId="29" xfId="0" applyNumberFormat="1" applyFont="1" applyFill="1" applyBorder="1" applyAlignment="1">
      <alignment horizontal="left" vertical="center" wrapText="1"/>
    </xf>
    <xf numFmtId="2" fontId="8" fillId="9" borderId="27" xfId="0" applyNumberFormat="1" applyFont="1" applyFill="1" applyBorder="1" applyAlignment="1">
      <alignment horizontal="left" vertical="center" wrapText="1"/>
    </xf>
    <xf numFmtId="2" fontId="8" fillId="9" borderId="82" xfId="0" quotePrefix="1" applyNumberFormat="1" applyFont="1" applyFill="1" applyBorder="1" applyAlignment="1">
      <alignment horizontal="center" vertical="center" wrapText="1"/>
    </xf>
    <xf numFmtId="165" fontId="8" fillId="10" borderId="27" xfId="0" applyNumberFormat="1" applyFont="1" applyFill="1" applyBorder="1" applyAlignment="1">
      <alignment horizontal="left" vertical="center" wrapText="1"/>
    </xf>
    <xf numFmtId="165" fontId="8" fillId="10" borderId="27" xfId="0" applyNumberFormat="1" applyFont="1" applyFill="1" applyBorder="1" applyAlignment="1">
      <alignment horizontal="center" vertical="center" wrapText="1"/>
    </xf>
    <xf numFmtId="165" fontId="8" fillId="10" borderId="10" xfId="0" applyNumberFormat="1" applyFont="1" applyFill="1" applyBorder="1" applyAlignment="1">
      <alignment horizontal="left" vertical="center" wrapText="1"/>
    </xf>
    <xf numFmtId="165" fontId="8" fillId="10" borderId="10" xfId="0" applyNumberFormat="1" applyFont="1" applyFill="1" applyBorder="1" applyAlignment="1">
      <alignment horizontal="center" vertical="center" wrapText="1"/>
    </xf>
    <xf numFmtId="165" fontId="8" fillId="10" borderId="10" xfId="0" quotePrefix="1" applyNumberFormat="1" applyFont="1" applyFill="1" applyBorder="1" applyAlignment="1">
      <alignment horizontal="left" vertical="center" wrapText="1"/>
    </xf>
    <xf numFmtId="165" fontId="8" fillId="10" borderId="10" xfId="0" quotePrefix="1" applyNumberFormat="1" applyFont="1" applyFill="1" applyBorder="1" applyAlignment="1">
      <alignment horizontal="center" vertical="center" wrapText="1"/>
    </xf>
    <xf numFmtId="165" fontId="8" fillId="10" borderId="49" xfId="0" applyNumberFormat="1" applyFont="1" applyFill="1" applyBorder="1" applyAlignment="1">
      <alignment horizontal="left" vertical="center" wrapText="1"/>
    </xf>
    <xf numFmtId="165" fontId="8" fillId="10" borderId="49" xfId="0" applyNumberFormat="1" applyFont="1" applyFill="1" applyBorder="1" applyAlignment="1">
      <alignment horizontal="center" vertical="center" wrapText="1"/>
    </xf>
    <xf numFmtId="165" fontId="4" fillId="10" borderId="10" xfId="0" applyNumberFormat="1" applyFont="1" applyFill="1" applyBorder="1" applyAlignment="1">
      <alignment horizontal="left"/>
    </xf>
    <xf numFmtId="165" fontId="4" fillId="10" borderId="10" xfId="0" applyNumberFormat="1" applyFont="1" applyFill="1" applyBorder="1" applyAlignment="1">
      <alignment horizontal="center"/>
    </xf>
    <xf numFmtId="166" fontId="8" fillId="7" borderId="18" xfId="2" applyNumberFormat="1" applyFont="1" applyFill="1" applyBorder="1" applyAlignment="1">
      <alignment horizontal="center" vertical="center" wrapText="1"/>
    </xf>
    <xf numFmtId="0" fontId="14" fillId="7" borderId="55" xfId="7" quotePrefix="1" applyFill="1" applyBorder="1" applyAlignment="1">
      <alignment horizontal="center" vertical="center" wrapText="1"/>
    </xf>
    <xf numFmtId="0" fontId="14" fillId="7" borderId="6" xfId="7" quotePrefix="1" applyFill="1" applyBorder="1" applyAlignment="1">
      <alignment horizontal="left" vertical="center" wrapText="1"/>
    </xf>
    <xf numFmtId="3" fontId="8" fillId="7" borderId="28" xfId="2" applyNumberFormat="1" applyFont="1" applyFill="1" applyBorder="1" applyAlignment="1">
      <alignment horizontal="center" vertical="center" wrapText="1"/>
    </xf>
    <xf numFmtId="3" fontId="8" fillId="7" borderId="52" xfId="2" applyNumberFormat="1" applyFont="1" applyFill="1" applyBorder="1" applyAlignment="1">
      <alignment horizontal="center" vertical="center" wrapText="1"/>
    </xf>
    <xf numFmtId="166" fontId="8" fillId="7" borderId="3" xfId="2" applyNumberFormat="1" applyFont="1" applyFill="1" applyBorder="1" applyAlignment="1">
      <alignment horizontal="center" vertical="center" wrapText="1"/>
    </xf>
    <xf numFmtId="165" fontId="4" fillId="7" borderId="0" xfId="0" applyNumberFormat="1" applyFont="1" applyFill="1" applyAlignment="1">
      <alignment horizontal="center" vertical="center"/>
    </xf>
    <xf numFmtId="2" fontId="8" fillId="14" borderId="24" xfId="0" applyNumberFormat="1" applyFont="1" applyFill="1" applyBorder="1" applyAlignment="1">
      <alignment horizontal="center" vertical="center" wrapText="1"/>
    </xf>
    <xf numFmtId="0" fontId="8" fillId="14" borderId="51" xfId="0" applyFont="1" applyFill="1" applyBorder="1" applyAlignment="1">
      <alignment horizontal="center" vertical="center" wrapText="1"/>
    </xf>
    <xf numFmtId="0" fontId="8" fillId="14" borderId="49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horizontal="center" vertical="center" wrapText="1"/>
    </xf>
    <xf numFmtId="3" fontId="9" fillId="10" borderId="5" xfId="0" applyNumberFormat="1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4" fillId="14" borderId="48" xfId="0" applyFont="1" applyFill="1" applyBorder="1" applyAlignment="1">
      <alignment horizontal="center" vertical="center"/>
    </xf>
    <xf numFmtId="0" fontId="4" fillId="14" borderId="36" xfId="0" applyFont="1" applyFill="1" applyBorder="1"/>
    <xf numFmtId="0" fontId="4" fillId="14" borderId="55" xfId="0" applyFont="1" applyFill="1" applyBorder="1"/>
    <xf numFmtId="0" fontId="4" fillId="14" borderId="36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center" vertical="center"/>
    </xf>
    <xf numFmtId="0" fontId="4" fillId="14" borderId="29" xfId="0" applyFont="1" applyFill="1" applyBorder="1" applyAlignment="1">
      <alignment horizontal="center" vertical="center"/>
    </xf>
    <xf numFmtId="0" fontId="4" fillId="14" borderId="27" xfId="0" applyFont="1" applyFill="1" applyBorder="1" applyAlignment="1">
      <alignment horizontal="center" vertical="center"/>
    </xf>
    <xf numFmtId="0" fontId="4" fillId="14" borderId="82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1" fontId="4" fillId="14" borderId="3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0" fontId="4" fillId="14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14" borderId="44" xfId="0" applyFont="1" applyFill="1" applyBorder="1" applyAlignment="1">
      <alignment horizontal="center" vertical="center" wrapText="1"/>
    </xf>
    <xf numFmtId="0" fontId="4" fillId="14" borderId="48" xfId="0" applyFont="1" applyFill="1" applyBorder="1" applyAlignment="1">
      <alignment horizontal="center" vertical="center" wrapText="1"/>
    </xf>
    <xf numFmtId="0" fontId="8" fillId="14" borderId="22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vertical="center" wrapText="1"/>
    </xf>
    <xf numFmtId="0" fontId="8" fillId="14" borderId="81" xfId="0" applyFont="1" applyFill="1" applyBorder="1" applyAlignment="1">
      <alignment horizontal="right" vertical="center" wrapText="1"/>
    </xf>
    <xf numFmtId="0" fontId="8" fillId="14" borderId="43" xfId="0" applyFont="1" applyFill="1" applyBorder="1" applyAlignment="1">
      <alignment horizontal="center" vertical="center" wrapText="1"/>
    </xf>
    <xf numFmtId="0" fontId="8" fillId="14" borderId="50" xfId="0" applyFont="1" applyFill="1" applyBorder="1" applyAlignment="1">
      <alignment horizontal="center" vertical="center" wrapText="1"/>
    </xf>
    <xf numFmtId="0" fontId="8" fillId="14" borderId="38" xfId="0" applyFont="1" applyFill="1" applyBorder="1" applyAlignment="1">
      <alignment horizontal="center" vertical="center" wrapText="1"/>
    </xf>
    <xf numFmtId="0" fontId="8" fillId="14" borderId="39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165" fontId="4" fillId="10" borderId="13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1" fontId="4" fillId="10" borderId="9" xfId="0" applyNumberFormat="1" applyFont="1" applyFill="1" applyBorder="1" applyAlignment="1">
      <alignment horizontal="center" vertical="center"/>
    </xf>
    <xf numFmtId="166" fontId="4" fillId="10" borderId="10" xfId="0" quotePrefix="1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66" fontId="4" fillId="15" borderId="10" xfId="0" applyNumberFormat="1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6" borderId="12" xfId="0" applyFont="1" applyFill="1" applyBorder="1" applyAlignment="1">
      <alignment horizontal="center" vertical="center" wrapText="1"/>
    </xf>
    <xf numFmtId="3" fontId="4" fillId="16" borderId="1" xfId="0" applyNumberFormat="1" applyFont="1" applyFill="1" applyBorder="1" applyAlignment="1">
      <alignment horizontal="center" vertical="center"/>
    </xf>
    <xf numFmtId="0" fontId="8" fillId="14" borderId="28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10" fillId="16" borderId="82" xfId="0" applyFont="1" applyFill="1" applyBorder="1" applyAlignment="1">
      <alignment vertical="center" wrapText="1"/>
    </xf>
    <xf numFmtId="0" fontId="10" fillId="16" borderId="27" xfId="0" applyFont="1" applyFill="1" applyBorder="1" applyAlignment="1">
      <alignment horizontal="center" vertical="center" wrapText="1"/>
    </xf>
    <xf numFmtId="0" fontId="10" fillId="16" borderId="29" xfId="0" applyFont="1" applyFill="1" applyBorder="1" applyAlignment="1">
      <alignment horizontal="center" vertical="center" wrapText="1"/>
    </xf>
    <xf numFmtId="165" fontId="10" fillId="16" borderId="27" xfId="0" applyNumberFormat="1" applyFont="1" applyFill="1" applyBorder="1" applyAlignment="1">
      <alignment horizontal="center" vertical="center" wrapText="1"/>
    </xf>
    <xf numFmtId="0" fontId="10" fillId="16" borderId="26" xfId="0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vertical="center" wrapText="1"/>
    </xf>
    <xf numFmtId="0" fontId="10" fillId="16" borderId="10" xfId="0" applyFont="1" applyFill="1" applyBorder="1" applyAlignment="1">
      <alignment horizontal="center" vertical="center" wrapText="1"/>
    </xf>
    <xf numFmtId="3" fontId="10" fillId="16" borderId="30" xfId="0" applyNumberFormat="1" applyFont="1" applyFill="1" applyBorder="1" applyAlignment="1">
      <alignment horizontal="center" vertical="center" wrapText="1"/>
    </xf>
    <xf numFmtId="165" fontId="10" fillId="16" borderId="10" xfId="0" applyNumberFormat="1" applyFont="1" applyFill="1" applyBorder="1" applyAlignment="1">
      <alignment horizontal="center" vertical="center" wrapText="1"/>
    </xf>
    <xf numFmtId="3" fontId="10" fillId="16" borderId="1" xfId="0" applyNumberFormat="1" applyFont="1" applyFill="1" applyBorder="1" applyAlignment="1">
      <alignment horizontal="center" vertical="center" wrapText="1"/>
    </xf>
    <xf numFmtId="0" fontId="10" fillId="16" borderId="30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left" vertical="center"/>
    </xf>
    <xf numFmtId="2" fontId="6" fillId="2" borderId="50" xfId="0" applyNumberFormat="1" applyFont="1" applyFill="1" applyBorder="1" applyAlignment="1">
      <alignment horizontal="center" vertical="center"/>
    </xf>
    <xf numFmtId="2" fontId="6" fillId="2" borderId="58" xfId="0" applyNumberFormat="1" applyFont="1" applyFill="1" applyBorder="1" applyAlignment="1">
      <alignment horizontal="center" vertical="center"/>
    </xf>
    <xf numFmtId="165" fontId="6" fillId="2" borderId="50" xfId="0" applyNumberFormat="1" applyFont="1" applyFill="1" applyBorder="1" applyAlignment="1">
      <alignment horizontal="center" vertical="center"/>
    </xf>
    <xf numFmtId="165" fontId="6" fillId="2" borderId="58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9" fillId="2" borderId="48" xfId="0" applyFont="1" applyFill="1" applyBorder="1" applyAlignment="1">
      <alignment horizontal="left" vertical="center" wrapText="1"/>
    </xf>
    <xf numFmtId="2" fontId="19" fillId="2" borderId="84" xfId="0" applyNumberFormat="1" applyFont="1" applyFill="1" applyBorder="1" applyAlignment="1">
      <alignment horizontal="center" vertical="center"/>
    </xf>
    <xf numFmtId="2" fontId="19" fillId="2" borderId="80" xfId="0" applyNumberFormat="1" applyFont="1" applyFill="1" applyBorder="1" applyAlignment="1">
      <alignment horizontal="center" vertical="center" wrapText="1"/>
    </xf>
    <xf numFmtId="165" fontId="19" fillId="2" borderId="84" xfId="0" applyNumberFormat="1" applyFont="1" applyFill="1" applyBorder="1" applyAlignment="1">
      <alignment horizontal="center" vertical="center" wrapText="1"/>
    </xf>
    <xf numFmtId="165" fontId="19" fillId="2" borderId="80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19" fillId="2" borderId="34" xfId="0" applyFont="1" applyFill="1" applyBorder="1" applyAlignment="1">
      <alignment horizontal="left" vertical="center" wrapText="1"/>
    </xf>
    <xf numFmtId="2" fontId="19" fillId="2" borderId="7" xfId="0" applyNumberFormat="1" applyFont="1" applyFill="1" applyBorder="1" applyAlignment="1">
      <alignment horizontal="center" vertical="center"/>
    </xf>
    <xf numFmtId="2" fontId="19" fillId="2" borderId="77" xfId="0" applyNumberFormat="1" applyFont="1" applyFill="1" applyBorder="1" applyAlignment="1">
      <alignment horizontal="center" vertical="center" wrapText="1"/>
    </xf>
    <xf numFmtId="165" fontId="19" fillId="2" borderId="7" xfId="0" applyNumberFormat="1" applyFont="1" applyFill="1" applyBorder="1" applyAlignment="1">
      <alignment horizontal="center" vertical="center"/>
    </xf>
    <xf numFmtId="165" fontId="19" fillId="2" borderId="77" xfId="0" applyNumberFormat="1" applyFont="1" applyFill="1" applyBorder="1" applyAlignment="1">
      <alignment horizontal="center" vertical="center" wrapText="1"/>
    </xf>
    <xf numFmtId="2" fontId="23" fillId="2" borderId="0" xfId="0" applyNumberFormat="1" applyFont="1" applyFill="1" applyAlignment="1">
      <alignment horizontal="center" vertical="center"/>
    </xf>
    <xf numFmtId="0" fontId="19" fillId="2" borderId="18" xfId="0" applyFont="1" applyFill="1" applyBorder="1" applyAlignment="1">
      <alignment horizontal="left" vertical="center" indent="3"/>
    </xf>
    <xf numFmtId="2" fontId="19" fillId="2" borderId="9" xfId="0" applyNumberFormat="1" applyFont="1" applyFill="1" applyBorder="1" applyAlignment="1">
      <alignment horizontal="center" vertical="center"/>
    </xf>
    <xf numFmtId="2" fontId="19" fillId="2" borderId="21" xfId="0" applyNumberFormat="1" applyFont="1" applyFill="1" applyBorder="1" applyAlignment="1">
      <alignment horizontal="center" vertical="center" wrapText="1"/>
    </xf>
    <xf numFmtId="165" fontId="19" fillId="2" borderId="9" xfId="0" applyNumberFormat="1" applyFont="1" applyFill="1" applyBorder="1" applyAlignment="1">
      <alignment horizontal="center" vertical="center"/>
    </xf>
    <xf numFmtId="165" fontId="19" fillId="2" borderId="21" xfId="0" applyNumberFormat="1" applyFont="1" applyFill="1" applyBorder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/>
    </xf>
    <xf numFmtId="0" fontId="19" fillId="2" borderId="18" xfId="0" applyFont="1" applyFill="1" applyBorder="1" applyAlignment="1">
      <alignment horizontal="left" vertical="center" wrapText="1" indent="3"/>
    </xf>
    <xf numFmtId="2" fontId="28" fillId="2" borderId="21" xfId="0" applyNumberFormat="1" applyFont="1" applyFill="1" applyBorder="1" applyAlignment="1">
      <alignment horizontal="center" vertical="center" wrapText="1"/>
    </xf>
    <xf numFmtId="165" fontId="28" fillId="2" borderId="21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0" fontId="19" fillId="2" borderId="63" xfId="0" applyFont="1" applyFill="1" applyBorder="1" applyAlignment="1">
      <alignment horizontal="left" vertical="center" wrapText="1" indent="3"/>
    </xf>
    <xf numFmtId="2" fontId="19" fillId="2" borderId="51" xfId="0" applyNumberFormat="1" applyFont="1" applyFill="1" applyBorder="1" applyAlignment="1">
      <alignment horizontal="center" vertical="center"/>
    </xf>
    <xf numFmtId="2" fontId="19" fillId="2" borderId="78" xfId="0" applyNumberFormat="1" applyFont="1" applyFill="1" applyBorder="1" applyAlignment="1">
      <alignment horizontal="center" vertical="center" wrapText="1"/>
    </xf>
    <xf numFmtId="165" fontId="19" fillId="2" borderId="51" xfId="0" applyNumberFormat="1" applyFont="1" applyFill="1" applyBorder="1" applyAlignment="1">
      <alignment horizontal="center" vertical="center"/>
    </xf>
    <xf numFmtId="165" fontId="19" fillId="2" borderId="78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left" vertical="center"/>
    </xf>
    <xf numFmtId="0" fontId="29" fillId="2" borderId="0" xfId="0" applyFont="1" applyFill="1"/>
    <xf numFmtId="0" fontId="0" fillId="2" borderId="0" xfId="0" applyFill="1" applyAlignment="1">
      <alignment horizontal="center" vertical="center"/>
    </xf>
    <xf numFmtId="0" fontId="19" fillId="14" borderId="22" xfId="0" applyFont="1" applyFill="1" applyBorder="1" applyAlignment="1">
      <alignment horizontal="center" vertical="center" wrapText="1"/>
    </xf>
    <xf numFmtId="0" fontId="19" fillId="14" borderId="24" xfId="0" applyFont="1" applyFill="1" applyBorder="1" applyAlignment="1">
      <alignment horizontal="center" vertical="center" wrapText="1"/>
    </xf>
    <xf numFmtId="0" fontId="19" fillId="14" borderId="4" xfId="0" applyFont="1" applyFill="1" applyBorder="1" applyAlignment="1">
      <alignment horizontal="center" vertical="center" wrapText="1"/>
    </xf>
    <xf numFmtId="0" fontId="19" fillId="14" borderId="58" xfId="0" applyFont="1" applyFill="1" applyBorder="1" applyAlignment="1">
      <alignment horizontal="center" vertical="center" wrapText="1"/>
    </xf>
    <xf numFmtId="165" fontId="19" fillId="14" borderId="43" xfId="0" applyNumberFormat="1" applyFont="1" applyFill="1" applyBorder="1" applyAlignment="1">
      <alignment horizontal="center" vertical="center"/>
    </xf>
    <xf numFmtId="165" fontId="19" fillId="14" borderId="22" xfId="0" applyNumberFormat="1" applyFont="1" applyFill="1" applyBorder="1" applyAlignment="1">
      <alignment horizontal="center" vertical="center"/>
    </xf>
    <xf numFmtId="2" fontId="19" fillId="14" borderId="43" xfId="0" applyNumberFormat="1" applyFont="1" applyFill="1" applyBorder="1" applyAlignment="1">
      <alignment horizontal="center" vertical="center"/>
    </xf>
    <xf numFmtId="2" fontId="19" fillId="14" borderId="22" xfId="0" applyNumberFormat="1" applyFont="1" applyFill="1" applyBorder="1" applyAlignment="1">
      <alignment horizontal="center" vertical="center"/>
    </xf>
    <xf numFmtId="0" fontId="19" fillId="14" borderId="44" xfId="0" applyFont="1" applyFill="1" applyBorder="1" applyAlignment="1">
      <alignment horizontal="left" vertical="center" wrapText="1"/>
    </xf>
    <xf numFmtId="2" fontId="19" fillId="14" borderId="66" xfId="0" applyNumberFormat="1" applyFont="1" applyFill="1" applyBorder="1" applyAlignment="1">
      <alignment horizontal="center" vertical="center"/>
    </xf>
    <xf numFmtId="165" fontId="19" fillId="14" borderId="66" xfId="0" applyNumberFormat="1" applyFont="1" applyFill="1" applyBorder="1" applyAlignment="1">
      <alignment horizontal="center" vertical="center"/>
    </xf>
    <xf numFmtId="165" fontId="19" fillId="14" borderId="6" xfId="0" applyNumberFormat="1" applyFont="1" applyFill="1" applyBorder="1" applyAlignment="1">
      <alignment horizontal="center" vertical="center" wrapText="1"/>
    </xf>
    <xf numFmtId="165" fontId="19" fillId="14" borderId="4" xfId="0" applyNumberFormat="1" applyFont="1" applyFill="1" applyBorder="1" applyAlignment="1">
      <alignment horizontal="center" vertical="center"/>
    </xf>
    <xf numFmtId="2" fontId="19" fillId="14" borderId="6" xfId="0" applyNumberFormat="1" applyFont="1" applyFill="1" applyBorder="1" applyAlignment="1">
      <alignment horizontal="center" vertical="center" wrapText="1"/>
    </xf>
    <xf numFmtId="2" fontId="19" fillId="14" borderId="4" xfId="0" applyNumberFormat="1" applyFont="1" applyFill="1" applyBorder="1" applyAlignment="1">
      <alignment horizontal="center" vertical="center"/>
    </xf>
    <xf numFmtId="0" fontId="19" fillId="14" borderId="55" xfId="0" applyFont="1" applyFill="1" applyBorder="1" applyAlignment="1">
      <alignment horizontal="left" vertical="center" wrapText="1"/>
    </xf>
    <xf numFmtId="3" fontId="5" fillId="7" borderId="9" xfId="0" applyNumberFormat="1" applyFont="1" applyFill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3" fontId="5" fillId="10" borderId="9" xfId="0" applyNumberFormat="1" applyFont="1" applyFill="1" applyBorder="1" applyAlignment="1">
      <alignment horizontal="center" vertical="center"/>
    </xf>
    <xf numFmtId="3" fontId="4" fillId="10" borderId="1" xfId="0" applyNumberFormat="1" applyFont="1" applyFill="1" applyBorder="1" applyAlignment="1">
      <alignment horizontal="center" vertical="center"/>
    </xf>
    <xf numFmtId="3" fontId="5" fillId="10" borderId="11" xfId="0" applyNumberFormat="1" applyFont="1" applyFill="1" applyBorder="1" applyAlignment="1">
      <alignment horizontal="center" vertical="center"/>
    </xf>
    <xf numFmtId="3" fontId="4" fillId="10" borderId="12" xfId="0" applyNumberFormat="1" applyFont="1" applyFill="1" applyBorder="1" applyAlignment="1">
      <alignment horizontal="center" vertical="center"/>
    </xf>
    <xf numFmtId="3" fontId="4" fillId="10" borderId="9" xfId="0" applyNumberFormat="1" applyFont="1" applyFill="1" applyBorder="1" applyAlignment="1">
      <alignment horizontal="center" vertical="center"/>
    </xf>
    <xf numFmtId="3" fontId="4" fillId="10" borderId="11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7" borderId="30" xfId="0" applyNumberFormat="1" applyFont="1" applyFill="1" applyBorder="1" applyAlignment="1">
      <alignment horizontal="center" vertical="center"/>
    </xf>
    <xf numFmtId="3" fontId="4" fillId="10" borderId="18" xfId="0" applyNumberFormat="1" applyFont="1" applyFill="1" applyBorder="1" applyAlignment="1">
      <alignment horizontal="center" vertical="center"/>
    </xf>
    <xf numFmtId="3" fontId="4" fillId="10" borderId="30" xfId="0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3" fontId="4" fillId="10" borderId="33" xfId="0" applyNumberFormat="1" applyFont="1" applyFill="1" applyBorder="1" applyAlignment="1">
      <alignment horizontal="center" vertical="center"/>
    </xf>
    <xf numFmtId="3" fontId="4" fillId="10" borderId="31" xfId="0" applyNumberFormat="1" applyFont="1" applyFill="1" applyBorder="1" applyAlignment="1">
      <alignment horizontal="center" vertical="center"/>
    </xf>
    <xf numFmtId="3" fontId="4" fillId="10" borderId="13" xfId="0" applyNumberFormat="1" applyFon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left" vertical="center"/>
    </xf>
    <xf numFmtId="3" fontId="6" fillId="2" borderId="86" xfId="0" quotePrefix="1" applyNumberFormat="1" applyFont="1" applyFill="1" applyBorder="1" applyAlignment="1">
      <alignment horizontal="left" vertical="center" wrapText="1"/>
    </xf>
    <xf numFmtId="0" fontId="4" fillId="6" borderId="55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84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15" borderId="0" xfId="0" applyNumberFormat="1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166" fontId="5" fillId="2" borderId="34" xfId="0" applyNumberFormat="1" applyFont="1" applyFill="1" applyBorder="1" applyAlignment="1">
      <alignment horizontal="center" vertical="center"/>
    </xf>
    <xf numFmtId="166" fontId="5" fillId="2" borderId="18" xfId="0" applyNumberFormat="1" applyFont="1" applyFill="1" applyBorder="1" applyAlignment="1">
      <alignment horizontal="center" vertical="center"/>
    </xf>
    <xf numFmtId="166" fontId="5" fillId="7" borderId="18" xfId="0" applyNumberFormat="1" applyFont="1" applyFill="1" applyBorder="1" applyAlignment="1">
      <alignment horizontal="center" vertical="center"/>
    </xf>
    <xf numFmtId="166" fontId="5" fillId="2" borderId="33" xfId="0" applyNumberFormat="1" applyFont="1" applyFill="1" applyBorder="1" applyAlignment="1">
      <alignment horizontal="center" vertical="center"/>
    </xf>
    <xf numFmtId="0" fontId="8" fillId="14" borderId="100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3" fontId="8" fillId="2" borderId="20" xfId="0" applyNumberFormat="1" applyFont="1" applyFill="1" applyBorder="1" applyAlignment="1">
      <alignment horizontal="center" vertical="center" wrapText="1"/>
    </xf>
    <xf numFmtId="0" fontId="8" fillId="2" borderId="100" xfId="0" applyFont="1" applyFill="1" applyBorder="1" applyAlignment="1">
      <alignment horizontal="center" vertical="center" wrapText="1"/>
    </xf>
    <xf numFmtId="3" fontId="8" fillId="2" borderId="42" xfId="0" applyNumberFormat="1" applyFont="1" applyFill="1" applyBorder="1" applyAlignment="1">
      <alignment horizontal="center" vertical="center" wrapText="1"/>
    </xf>
    <xf numFmtId="3" fontId="8" fillId="2" borderId="31" xfId="0" applyNumberFormat="1" applyFont="1" applyFill="1" applyBorder="1" applyAlignment="1">
      <alignment horizontal="center" vertical="center" wrapText="1"/>
    </xf>
    <xf numFmtId="1" fontId="8" fillId="2" borderId="103" xfId="11" applyNumberFormat="1" applyFont="1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0" fontId="4" fillId="8" borderId="87" xfId="0" applyFont="1" applyFill="1" applyBorder="1" applyAlignment="1">
      <alignment horizontal="center" vertical="center"/>
    </xf>
    <xf numFmtId="0" fontId="4" fillId="8" borderId="86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3" fontId="6" fillId="2" borderId="5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 wrapText="1"/>
    </xf>
    <xf numFmtId="3" fontId="4" fillId="2" borderId="45" xfId="0" applyNumberFormat="1" applyFont="1" applyFill="1" applyBorder="1" applyAlignment="1">
      <alignment horizontal="center" vertic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wrapText="1"/>
    </xf>
    <xf numFmtId="3" fontId="4" fillId="2" borderId="33" xfId="0" applyNumberFormat="1" applyFont="1" applyFill="1" applyBorder="1" applyAlignment="1">
      <alignment horizont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166" fontId="8" fillId="18" borderId="2" xfId="0" quotePrefix="1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65" fontId="7" fillId="2" borderId="31" xfId="0" applyNumberFormat="1" applyFont="1" applyFill="1" applyBorder="1" applyAlignment="1">
      <alignment horizontal="center" vertical="center"/>
    </xf>
    <xf numFmtId="165" fontId="22" fillId="2" borderId="20" xfId="0" applyNumberFormat="1" applyFont="1" applyFill="1" applyBorder="1" applyAlignment="1">
      <alignment horizontal="center" vertical="center"/>
    </xf>
    <xf numFmtId="165" fontId="22" fillId="2" borderId="21" xfId="0" applyNumberFormat="1" applyFont="1" applyFill="1" applyBorder="1" applyAlignment="1">
      <alignment horizontal="center" vertical="center"/>
    </xf>
    <xf numFmtId="49" fontId="7" fillId="6" borderId="57" xfId="0" applyNumberFormat="1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 vertical="center" wrapText="1"/>
    </xf>
    <xf numFmtId="165" fontId="7" fillId="2" borderId="18" xfId="0" applyNumberFormat="1" applyFont="1" applyFill="1" applyBorder="1" applyAlignment="1">
      <alignment horizontal="center" vertical="center"/>
    </xf>
    <xf numFmtId="165" fontId="7" fillId="2" borderId="33" xfId="0" applyNumberFormat="1" applyFont="1" applyFill="1" applyBorder="1" applyAlignment="1">
      <alignment horizontal="center" vertical="center"/>
    </xf>
    <xf numFmtId="165" fontId="7" fillId="2" borderId="34" xfId="0" applyNumberFormat="1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72" xfId="0" applyNumberFormat="1" applyFont="1" applyFill="1" applyBorder="1" applyAlignment="1">
      <alignment horizontal="center" vertical="center"/>
    </xf>
    <xf numFmtId="165" fontId="7" fillId="2" borderId="104" xfId="0" applyNumberFormat="1" applyFont="1" applyFill="1" applyBorder="1" applyAlignment="1">
      <alignment horizontal="center" vertical="center"/>
    </xf>
    <xf numFmtId="165" fontId="21" fillId="2" borderId="20" xfId="0" applyNumberFormat="1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left" vertical="center" wrapText="1"/>
    </xf>
    <xf numFmtId="165" fontId="21" fillId="2" borderId="35" xfId="0" applyNumberFormat="1" applyFont="1" applyFill="1" applyBorder="1" applyAlignment="1">
      <alignment horizontal="center" vertical="center"/>
    </xf>
    <xf numFmtId="165" fontId="21" fillId="2" borderId="104" xfId="0" applyNumberFormat="1" applyFont="1" applyFill="1" applyBorder="1" applyAlignment="1">
      <alignment horizontal="center" vertical="center"/>
    </xf>
    <xf numFmtId="165" fontId="21" fillId="2" borderId="34" xfId="0" applyNumberFormat="1" applyFont="1" applyFill="1" applyBorder="1" applyAlignment="1">
      <alignment horizontal="center" vertical="center"/>
    </xf>
    <xf numFmtId="49" fontId="7" fillId="2" borderId="57" xfId="0" applyNumberFormat="1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65" fontId="7" fillId="2" borderId="56" xfId="0" applyNumberFormat="1" applyFont="1" applyFill="1" applyBorder="1" applyAlignment="1">
      <alignment horizontal="center" vertical="center"/>
    </xf>
    <xf numFmtId="49" fontId="7" fillId="2" borderId="56" xfId="0" applyNumberFormat="1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left" vertical="center" wrapText="1"/>
    </xf>
    <xf numFmtId="165" fontId="21" fillId="2" borderId="21" xfId="0" applyNumberFormat="1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166" fontId="19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/>
    </xf>
    <xf numFmtId="3" fontId="8" fillId="19" borderId="11" xfId="0" applyNumberFormat="1" applyFont="1" applyFill="1" applyBorder="1" applyAlignment="1">
      <alignment horizontal="center" vertical="center" wrapText="1"/>
    </xf>
    <xf numFmtId="3" fontId="8" fillId="19" borderId="9" xfId="0" applyNumberFormat="1" applyFont="1" applyFill="1" applyBorder="1" applyAlignment="1">
      <alignment horizontal="center" vertical="center" wrapText="1"/>
    </xf>
    <xf numFmtId="0" fontId="9" fillId="9" borderId="67" xfId="0" applyFont="1" applyFill="1" applyBorder="1" applyAlignment="1">
      <alignment vertical="center" wrapText="1"/>
    </xf>
    <xf numFmtId="0" fontId="9" fillId="9" borderId="36" xfId="0" applyFont="1" applyFill="1" applyBorder="1" applyAlignment="1">
      <alignment horizontal="center" vertical="center" wrapText="1"/>
    </xf>
    <xf numFmtId="3" fontId="9" fillId="9" borderId="50" xfId="0" applyNumberFormat="1" applyFont="1" applyFill="1" applyBorder="1" applyAlignment="1">
      <alignment horizontal="center" vertical="center" wrapText="1"/>
    </xf>
    <xf numFmtId="3" fontId="9" fillId="9" borderId="38" xfId="0" applyNumberFormat="1" applyFont="1" applyFill="1" applyBorder="1" applyAlignment="1">
      <alignment horizontal="center" vertical="center" wrapText="1"/>
    </xf>
    <xf numFmtId="3" fontId="9" fillId="9" borderId="68" xfId="0" applyNumberFormat="1" applyFont="1" applyFill="1" applyBorder="1" applyAlignment="1">
      <alignment horizontal="center" vertical="center" wrapText="1"/>
    </xf>
    <xf numFmtId="165" fontId="9" fillId="9" borderId="39" xfId="0" applyNumberFormat="1" applyFont="1" applyFill="1" applyBorder="1" applyAlignment="1">
      <alignment horizontal="center" vertical="center" wrapText="1"/>
    </xf>
    <xf numFmtId="166" fontId="19" fillId="8" borderId="6" xfId="0" applyNumberFormat="1" applyFont="1" applyFill="1" applyBorder="1" applyAlignment="1">
      <alignment horizontal="center" vertical="center"/>
    </xf>
    <xf numFmtId="166" fontId="23" fillId="2" borderId="0" xfId="0" applyNumberFormat="1" applyFont="1" applyFill="1" applyBorder="1" applyAlignment="1">
      <alignment horizontal="center" vertical="center"/>
    </xf>
    <xf numFmtId="165" fontId="23" fillId="2" borderId="0" xfId="0" applyNumberFormat="1" applyFont="1" applyFill="1" applyAlignment="1">
      <alignment horizontal="center" vertical="center"/>
    </xf>
    <xf numFmtId="165" fontId="23" fillId="2" borderId="1" xfId="0" applyNumberFormat="1" applyFont="1" applyFill="1" applyBorder="1" applyAlignment="1">
      <alignment horizontal="center" vertical="center"/>
    </xf>
    <xf numFmtId="165" fontId="23" fillId="17" borderId="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left"/>
    </xf>
    <xf numFmtId="165" fontId="4" fillId="19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/>
    <xf numFmtId="166" fontId="26" fillId="2" borderId="0" xfId="0" applyNumberFormat="1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4" fillId="20" borderId="30" xfId="0" applyNumberFormat="1" applyFont="1" applyFill="1" applyBorder="1" applyAlignment="1">
      <alignment horizontal="center" vertical="center"/>
    </xf>
    <xf numFmtId="1" fontId="4" fillId="20" borderId="11" xfId="0" applyNumberFormat="1" applyFont="1" applyFill="1" applyBorder="1" applyAlignment="1">
      <alignment horizontal="center" vertical="center"/>
    </xf>
    <xf numFmtId="0" fontId="10" fillId="16" borderId="4" xfId="0" applyFont="1" applyFill="1" applyBorder="1" applyAlignment="1">
      <alignment vertical="center" wrapText="1"/>
    </xf>
    <xf numFmtId="0" fontId="10" fillId="16" borderId="6" xfId="0" applyFont="1" applyFill="1" applyBorder="1" applyAlignment="1">
      <alignment horizontal="center" vertical="center" wrapText="1"/>
    </xf>
    <xf numFmtId="3" fontId="10" fillId="16" borderId="28" xfId="0" applyNumberFormat="1" applyFont="1" applyFill="1" applyBorder="1" applyAlignment="1">
      <alignment horizontal="center" vertical="center" wrapText="1"/>
    </xf>
    <xf numFmtId="3" fontId="10" fillId="16" borderId="5" xfId="0" applyNumberFormat="1" applyFont="1" applyFill="1" applyBorder="1" applyAlignment="1">
      <alignment horizontal="center" vertical="center" wrapText="1"/>
    </xf>
    <xf numFmtId="0" fontId="8" fillId="16" borderId="82" xfId="0" applyFont="1" applyFill="1" applyBorder="1" applyAlignment="1">
      <alignment vertical="center" wrapText="1"/>
    </xf>
    <xf numFmtId="0" fontId="8" fillId="16" borderId="27" xfId="0" applyFont="1" applyFill="1" applyBorder="1" applyAlignment="1">
      <alignment horizontal="center" vertical="center" wrapText="1"/>
    </xf>
    <xf numFmtId="0" fontId="8" fillId="16" borderId="29" xfId="0" applyFont="1" applyFill="1" applyBorder="1" applyAlignment="1">
      <alignment horizontal="center" vertical="center" wrapText="1"/>
    </xf>
    <xf numFmtId="165" fontId="8" fillId="16" borderId="27" xfId="0" applyNumberFormat="1" applyFont="1" applyFill="1" applyBorder="1" applyAlignment="1">
      <alignment horizontal="center" vertical="center" wrapText="1"/>
    </xf>
    <xf numFmtId="0" fontId="8" fillId="16" borderId="26" xfId="0" applyFont="1" applyFill="1" applyBorder="1" applyAlignment="1">
      <alignment horizontal="center" vertical="center" wrapText="1"/>
    </xf>
    <xf numFmtId="0" fontId="8" fillId="16" borderId="9" xfId="0" applyFont="1" applyFill="1" applyBorder="1" applyAlignment="1">
      <alignment vertical="center" wrapText="1"/>
    </xf>
    <xf numFmtId="0" fontId="8" fillId="16" borderId="10" xfId="0" applyFont="1" applyFill="1" applyBorder="1" applyAlignment="1">
      <alignment horizontal="center" vertical="center" wrapText="1"/>
    </xf>
    <xf numFmtId="3" fontId="8" fillId="16" borderId="30" xfId="0" applyNumberFormat="1" applyFont="1" applyFill="1" applyBorder="1" applyAlignment="1">
      <alignment horizontal="center" vertical="center" wrapText="1"/>
    </xf>
    <xf numFmtId="165" fontId="8" fillId="16" borderId="10" xfId="0" applyNumberFormat="1" applyFont="1" applyFill="1" applyBorder="1" applyAlignment="1">
      <alignment horizontal="center" vertical="center" wrapText="1"/>
    </xf>
    <xf numFmtId="3" fontId="8" fillId="16" borderId="1" xfId="0" applyNumberFormat="1" applyFont="1" applyFill="1" applyBorder="1" applyAlignment="1">
      <alignment horizontal="center" vertical="center" wrapText="1"/>
    </xf>
    <xf numFmtId="0" fontId="8" fillId="16" borderId="30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2" borderId="82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3" fontId="8" fillId="2" borderId="29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vertical="center" wrapText="1"/>
    </xf>
    <xf numFmtId="0" fontId="8" fillId="2" borderId="49" xfId="0" applyFont="1" applyFill="1" applyBorder="1" applyAlignment="1">
      <alignment horizontal="center" vertical="center" wrapText="1"/>
    </xf>
    <xf numFmtId="3" fontId="8" fillId="2" borderId="74" xfId="0" applyNumberFormat="1" applyFont="1" applyFill="1" applyBorder="1" applyAlignment="1">
      <alignment horizontal="center" vertical="center" wrapText="1"/>
    </xf>
    <xf numFmtId="3" fontId="8" fillId="2" borderId="40" xfId="0" applyNumberFormat="1" applyFont="1" applyFill="1" applyBorder="1" applyAlignment="1">
      <alignment horizontal="center" vertical="center" wrapText="1"/>
    </xf>
    <xf numFmtId="0" fontId="4" fillId="14" borderId="56" xfId="0" applyFont="1" applyFill="1" applyBorder="1" applyAlignment="1">
      <alignment horizontal="center" vertical="center"/>
    </xf>
    <xf numFmtId="0" fontId="4" fillId="14" borderId="64" xfId="0" applyFont="1" applyFill="1" applyBorder="1" applyAlignment="1">
      <alignment horizontal="center" vertical="center"/>
    </xf>
    <xf numFmtId="0" fontId="4" fillId="14" borderId="69" xfId="0" applyFont="1" applyFill="1" applyBorder="1"/>
    <xf numFmtId="0" fontId="4" fillId="14" borderId="65" xfId="0" applyFont="1" applyFill="1" applyBorder="1" applyAlignment="1">
      <alignment horizontal="center" vertical="center"/>
    </xf>
    <xf numFmtId="0" fontId="4" fillId="14" borderId="65" xfId="0" applyFont="1" applyFill="1" applyBorder="1"/>
    <xf numFmtId="0" fontId="4" fillId="14" borderId="66" xfId="0" applyFont="1" applyFill="1" applyBorder="1"/>
    <xf numFmtId="0" fontId="4" fillId="14" borderId="50" xfId="0" applyFont="1" applyFill="1" applyBorder="1" applyAlignment="1">
      <alignment horizontal="center" vertical="center" wrapText="1"/>
    </xf>
    <xf numFmtId="0" fontId="4" fillId="14" borderId="68" xfId="0" applyFont="1" applyFill="1" applyBorder="1" applyAlignment="1">
      <alignment horizontal="center" vertical="center" wrapText="1"/>
    </xf>
    <xf numFmtId="0" fontId="4" fillId="14" borderId="39" xfId="0" applyFont="1" applyFill="1" applyBorder="1" applyAlignment="1">
      <alignment horizontal="center" vertical="center" wrapText="1"/>
    </xf>
    <xf numFmtId="166" fontId="6" fillId="2" borderId="68" xfId="0" applyNumberFormat="1" applyFont="1" applyFill="1" applyBorder="1" applyAlignment="1">
      <alignment horizontal="center" vertical="center"/>
    </xf>
    <xf numFmtId="166" fontId="4" fillId="2" borderId="104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/>
    </xf>
    <xf numFmtId="166" fontId="4" fillId="2" borderId="72" xfId="0" applyNumberFormat="1" applyFont="1" applyFill="1" applyBorder="1" applyAlignment="1">
      <alignment horizontal="center"/>
    </xf>
    <xf numFmtId="166" fontId="6" fillId="2" borderId="36" xfId="0" applyNumberFormat="1" applyFont="1" applyFill="1" applyBorder="1" applyAlignment="1">
      <alignment horizontal="center" vertical="center"/>
    </xf>
    <xf numFmtId="166" fontId="4" fillId="2" borderId="18" xfId="0" applyNumberFormat="1" applyFont="1" applyFill="1" applyBorder="1" applyAlignment="1">
      <alignment horizontal="center"/>
    </xf>
    <xf numFmtId="166" fontId="4" fillId="2" borderId="33" xfId="0" applyNumberFormat="1" applyFont="1" applyFill="1" applyBorder="1" applyAlignment="1">
      <alignment horizontal="center"/>
    </xf>
    <xf numFmtId="165" fontId="17" fillId="2" borderId="0" xfId="0" applyNumberFormat="1" applyFont="1" applyFill="1" applyAlignment="1">
      <alignment horizontal="left" vertical="center"/>
    </xf>
    <xf numFmtId="0" fontId="4" fillId="6" borderId="44" xfId="0" applyFont="1" applyFill="1" applyBorder="1" applyAlignment="1">
      <alignment horizontal="left" vertical="center" wrapText="1"/>
    </xf>
    <xf numFmtId="0" fontId="4" fillId="6" borderId="48" xfId="0" applyFont="1" applyFill="1" applyBorder="1" applyAlignment="1">
      <alignment horizontal="left" vertical="center" wrapText="1"/>
    </xf>
    <xf numFmtId="0" fontId="4" fillId="6" borderId="36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84" xfId="0" applyFont="1" applyFill="1" applyBorder="1" applyAlignment="1">
      <alignment horizontal="center" vertical="center" wrapText="1"/>
    </xf>
    <xf numFmtId="0" fontId="15" fillId="6" borderId="50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horizontal="center" vertical="center" wrapText="1"/>
    </xf>
    <xf numFmtId="0" fontId="15" fillId="6" borderId="80" xfId="0" applyFont="1" applyFill="1" applyBorder="1" applyAlignment="1">
      <alignment horizontal="center" vertical="center" wrapText="1"/>
    </xf>
    <xf numFmtId="0" fontId="15" fillId="6" borderId="58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/>
    </xf>
    <xf numFmtId="0" fontId="4" fillId="8" borderId="36" xfId="0" applyFont="1" applyFill="1" applyBorder="1" applyAlignment="1">
      <alignment horizontal="center" vertical="center"/>
    </xf>
    <xf numFmtId="0" fontId="4" fillId="9" borderId="82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9" borderId="64" xfId="0" applyFont="1" applyFill="1" applyBorder="1" applyAlignment="1">
      <alignment horizontal="center" vertical="center" wrapText="1"/>
    </xf>
    <xf numFmtId="0" fontId="4" fillId="9" borderId="67" xfId="0" applyFont="1" applyFill="1" applyBorder="1" applyAlignment="1">
      <alignment horizontal="center" vertical="center" wrapText="1"/>
    </xf>
    <xf numFmtId="0" fontId="4" fillId="8" borderId="48" xfId="0" applyFont="1" applyFill="1" applyBorder="1" applyAlignment="1">
      <alignment horizontal="center" vertical="center"/>
    </xf>
    <xf numFmtId="0" fontId="4" fillId="8" borderId="55" xfId="0" applyFont="1" applyFill="1" applyBorder="1" applyAlignment="1">
      <alignment horizontal="center" vertical="center"/>
    </xf>
    <xf numFmtId="0" fontId="4" fillId="8" borderId="57" xfId="0" applyFont="1" applyFill="1" applyBorder="1" applyAlignment="1">
      <alignment horizontal="center" vertical="center"/>
    </xf>
    <xf numFmtId="0" fontId="4" fillId="8" borderId="56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 wrapText="1"/>
    </xf>
    <xf numFmtId="0" fontId="4" fillId="8" borderId="43" xfId="0" applyFont="1" applyFill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4" fillId="8" borderId="49" xfId="0" applyFont="1" applyFill="1" applyBorder="1" applyAlignment="1">
      <alignment horizontal="center" vertical="center" wrapText="1"/>
    </xf>
    <xf numFmtId="0" fontId="4" fillId="8" borderId="39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9" borderId="76" xfId="0" applyFont="1" applyFill="1" applyBorder="1" applyAlignment="1">
      <alignment horizontal="center" vertical="center" wrapText="1"/>
    </xf>
    <xf numFmtId="0" fontId="4" fillId="9" borderId="77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64" xfId="0" applyFont="1" applyFill="1" applyBorder="1" applyAlignment="1">
      <alignment horizontal="center" vertical="center"/>
    </xf>
    <xf numFmtId="0" fontId="4" fillId="8" borderId="65" xfId="0" applyFont="1" applyFill="1" applyBorder="1" applyAlignment="1">
      <alignment horizontal="center" vertical="center"/>
    </xf>
    <xf numFmtId="0" fontId="4" fillId="8" borderId="66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4" fillId="8" borderId="43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8" borderId="67" xfId="0" applyFont="1" applyFill="1" applyBorder="1" applyAlignment="1">
      <alignment horizontal="center" vertical="center"/>
    </xf>
    <xf numFmtId="0" fontId="4" fillId="8" borderId="82" xfId="0" applyNumberFormat="1" applyFont="1" applyFill="1" applyBorder="1" applyAlignment="1">
      <alignment horizontal="center" vertical="center" wrapText="1"/>
    </xf>
    <xf numFmtId="0" fontId="4" fillId="8" borderId="27" xfId="0" applyNumberFormat="1" applyFont="1" applyFill="1" applyBorder="1" applyAlignment="1">
      <alignment horizontal="center" vertical="center" wrapText="1"/>
    </xf>
    <xf numFmtId="0" fontId="4" fillId="8" borderId="26" xfId="0" applyNumberFormat="1" applyFont="1" applyFill="1" applyBorder="1" applyAlignment="1">
      <alignment horizontal="center" vertical="center" wrapText="1"/>
    </xf>
    <xf numFmtId="0" fontId="4" fillId="8" borderId="92" xfId="0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14" fontId="4" fillId="9" borderId="55" xfId="0" applyNumberFormat="1" applyFont="1" applyFill="1" applyBorder="1" applyAlignment="1">
      <alignment horizontal="center" vertical="center"/>
    </xf>
    <xf numFmtId="0" fontId="4" fillId="9" borderId="5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14" fontId="4" fillId="11" borderId="41" xfId="0" applyNumberFormat="1" applyFont="1" applyFill="1" applyBorder="1" applyAlignment="1">
      <alignment horizontal="center" vertical="center" wrapText="1"/>
    </xf>
    <xf numFmtId="14" fontId="4" fillId="11" borderId="43" xfId="0" applyNumberFormat="1" applyFont="1" applyFill="1" applyBorder="1" applyAlignment="1">
      <alignment horizontal="center" vertical="center" wrapText="1"/>
    </xf>
    <xf numFmtId="0" fontId="4" fillId="11" borderId="44" xfId="0" applyFont="1" applyFill="1" applyBorder="1" applyAlignment="1">
      <alignment horizontal="center" vertical="center"/>
    </xf>
    <xf numFmtId="0" fontId="4" fillId="11" borderId="3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30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3" borderId="82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8" fillId="13" borderId="27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/>
    </xf>
    <xf numFmtId="0" fontId="8" fillId="12" borderId="44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3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11" borderId="64" xfId="0" applyFont="1" applyFill="1" applyBorder="1" applyAlignment="1">
      <alignment horizontal="center" vertical="center"/>
    </xf>
    <xf numFmtId="0" fontId="4" fillId="11" borderId="69" xfId="0" applyFont="1" applyFill="1" applyBorder="1" applyAlignment="1">
      <alignment horizontal="center" vertical="center"/>
    </xf>
    <xf numFmtId="0" fontId="4" fillId="11" borderId="67" xfId="0" applyFont="1" applyFill="1" applyBorder="1" applyAlignment="1">
      <alignment horizontal="center" vertical="center"/>
    </xf>
    <xf numFmtId="0" fontId="4" fillId="11" borderId="55" xfId="0" applyFont="1" applyFill="1" applyBorder="1" applyAlignment="1">
      <alignment horizontal="center" vertical="center"/>
    </xf>
    <xf numFmtId="0" fontId="4" fillId="11" borderId="57" xfId="0" applyFont="1" applyFill="1" applyBorder="1" applyAlignment="1">
      <alignment horizontal="center" vertical="center"/>
    </xf>
    <xf numFmtId="0" fontId="4" fillId="11" borderId="56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27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 vertical="center"/>
    </xf>
    <xf numFmtId="0" fontId="4" fillId="11" borderId="71" xfId="0" applyFont="1" applyFill="1" applyBorder="1" applyAlignment="1">
      <alignment horizontal="center" vertical="center" wrapText="1"/>
    </xf>
    <xf numFmtId="0" fontId="4" fillId="11" borderId="72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11" borderId="51" xfId="0" applyFont="1" applyFill="1" applyBorder="1" applyAlignment="1">
      <alignment horizontal="center" vertical="center"/>
    </xf>
    <xf numFmtId="0" fontId="4" fillId="11" borderId="5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11" borderId="30" xfId="0" applyFont="1" applyFill="1" applyBorder="1" applyAlignment="1">
      <alignment horizontal="center" vertical="center"/>
    </xf>
    <xf numFmtId="0" fontId="4" fillId="11" borderId="3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8" borderId="69" xfId="0" applyFont="1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 wrapText="1"/>
    </xf>
    <xf numFmtId="0" fontId="4" fillId="8" borderId="72" xfId="0" applyFont="1" applyFill="1" applyBorder="1" applyAlignment="1">
      <alignment horizontal="center" vertical="center" wrapText="1"/>
    </xf>
    <xf numFmtId="0" fontId="4" fillId="8" borderId="59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8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6" borderId="64" xfId="0" applyFont="1" applyFill="1" applyBorder="1" applyAlignment="1">
      <alignment horizontal="center" vertical="center"/>
    </xf>
    <xf numFmtId="0" fontId="4" fillId="6" borderId="69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4" fillId="8" borderId="82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25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2" fontId="8" fillId="9" borderId="44" xfId="0" applyNumberFormat="1" applyFont="1" applyFill="1" applyBorder="1" applyAlignment="1">
      <alignment horizontal="center" vertical="center" wrapText="1"/>
    </xf>
    <xf numFmtId="2" fontId="8" fillId="9" borderId="36" xfId="0" applyNumberFormat="1" applyFont="1" applyFill="1" applyBorder="1" applyAlignment="1">
      <alignment horizontal="center" vertical="center" wrapText="1"/>
    </xf>
    <xf numFmtId="0" fontId="8" fillId="14" borderId="64" xfId="0" applyFont="1" applyFill="1" applyBorder="1" applyAlignment="1">
      <alignment horizontal="center" vertical="center" wrapText="1"/>
    </xf>
    <xf numFmtId="0" fontId="4" fillId="14" borderId="67" xfId="0" applyFont="1" applyFill="1" applyBorder="1"/>
    <xf numFmtId="0" fontId="8" fillId="14" borderId="44" xfId="0" applyFont="1" applyFill="1" applyBorder="1" applyAlignment="1">
      <alignment horizontal="center" vertical="center" wrapText="1"/>
    </xf>
    <xf numFmtId="0" fontId="4" fillId="14" borderId="36" xfId="0" applyFont="1" applyFill="1" applyBorder="1"/>
    <xf numFmtId="0" fontId="8" fillId="14" borderId="66" xfId="0" applyFont="1" applyFill="1" applyBorder="1" applyAlignment="1">
      <alignment horizontal="center" vertical="center" wrapText="1"/>
    </xf>
    <xf numFmtId="0" fontId="8" fillId="14" borderId="41" xfId="0" applyFont="1" applyFill="1" applyBorder="1" applyAlignment="1">
      <alignment horizontal="center" vertical="center" wrapText="1"/>
    </xf>
    <xf numFmtId="0" fontId="8" fillId="14" borderId="42" xfId="0" applyFont="1" applyFill="1" applyBorder="1" applyAlignment="1">
      <alignment horizontal="center" vertical="center" wrapText="1"/>
    </xf>
    <xf numFmtId="0" fontId="8" fillId="14" borderId="43" xfId="0" applyFont="1" applyFill="1" applyBorder="1" applyAlignment="1">
      <alignment horizontal="center" vertical="center" wrapText="1"/>
    </xf>
    <xf numFmtId="0" fontId="4" fillId="14" borderId="55" xfId="0" applyFont="1" applyFill="1" applyBorder="1" applyAlignment="1">
      <alignment horizontal="center" vertical="center"/>
    </xf>
    <xf numFmtId="0" fontId="4" fillId="14" borderId="57" xfId="0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/>
    <xf numFmtId="0" fontId="4" fillId="2" borderId="0" xfId="0" applyFont="1" applyFill="1" applyBorder="1" applyAlignment="1"/>
    <xf numFmtId="0" fontId="4" fillId="14" borderId="44" xfId="0" applyFont="1" applyFill="1" applyBorder="1" applyAlignment="1">
      <alignment horizontal="center" vertical="center"/>
    </xf>
    <xf numFmtId="0" fontId="4" fillId="14" borderId="48" xfId="0" applyFont="1" applyFill="1" applyBorder="1" applyAlignment="1">
      <alignment horizontal="center" vertical="center"/>
    </xf>
    <xf numFmtId="0" fontId="4" fillId="14" borderId="36" xfId="0" applyFont="1" applyFill="1" applyBorder="1" applyAlignment="1">
      <alignment horizontal="center" vertical="center"/>
    </xf>
    <xf numFmtId="0" fontId="4" fillId="14" borderId="82" xfId="0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14" borderId="81" xfId="0" applyFon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6" borderId="41" xfId="0" applyFont="1" applyFill="1" applyBorder="1" applyAlignment="1">
      <alignment horizontal="center" vertical="center"/>
    </xf>
    <xf numFmtId="0" fontId="4" fillId="16" borderId="42" xfId="0" applyFont="1" applyFill="1" applyBorder="1" applyAlignment="1">
      <alignment horizontal="center" vertical="center"/>
    </xf>
    <xf numFmtId="0" fontId="4" fillId="16" borderId="43" xfId="0" applyFont="1" applyFill="1" applyBorder="1" applyAlignment="1">
      <alignment horizontal="center" vertical="center"/>
    </xf>
    <xf numFmtId="0" fontId="4" fillId="14" borderId="51" xfId="0" applyFont="1" applyFill="1" applyBorder="1" applyAlignment="1">
      <alignment horizontal="center" vertical="center" wrapText="1"/>
    </xf>
    <xf numFmtId="0" fontId="4" fillId="14" borderId="84" xfId="0" applyFont="1" applyFill="1" applyBorder="1" applyAlignment="1">
      <alignment horizontal="center" vertical="center" wrapText="1"/>
    </xf>
    <xf numFmtId="0" fontId="4" fillId="14" borderId="45" xfId="0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0" fontId="4" fillId="14" borderId="46" xfId="0" applyFont="1" applyFill="1" applyBorder="1" applyAlignment="1">
      <alignment horizontal="center" vertical="center" wrapText="1"/>
    </xf>
    <xf numFmtId="0" fontId="4" fillId="14" borderId="86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 wrapText="1"/>
    </xf>
    <xf numFmtId="0" fontId="4" fillId="14" borderId="54" xfId="0" applyFont="1" applyFill="1" applyBorder="1" applyAlignment="1">
      <alignment horizontal="center" vertical="center" wrapText="1"/>
    </xf>
    <xf numFmtId="0" fontId="19" fillId="14" borderId="44" xfId="0" applyFont="1" applyFill="1" applyBorder="1" applyAlignment="1">
      <alignment horizontal="center" vertical="center" wrapText="1"/>
    </xf>
    <xf numFmtId="0" fontId="19" fillId="14" borderId="48" xfId="0" applyFont="1" applyFill="1" applyBorder="1" applyAlignment="1">
      <alignment horizontal="center" vertical="center" wrapText="1"/>
    </xf>
    <xf numFmtId="0" fontId="19" fillId="14" borderId="36" xfId="0" applyFont="1" applyFill="1" applyBorder="1" applyAlignment="1">
      <alignment horizontal="center" vertical="center" wrapText="1"/>
    </xf>
    <xf numFmtId="0" fontId="19" fillId="14" borderId="55" xfId="0" applyFont="1" applyFill="1" applyBorder="1" applyAlignment="1">
      <alignment horizontal="center" vertical="center" wrapText="1"/>
    </xf>
    <xf numFmtId="0" fontId="19" fillId="14" borderId="56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4" fillId="14" borderId="48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4" fillId="14" borderId="41" xfId="0" applyFont="1" applyFill="1" applyBorder="1" applyAlignment="1">
      <alignment horizontal="center" vertical="center" wrapText="1"/>
    </xf>
    <xf numFmtId="0" fontId="4" fillId="14" borderId="42" xfId="0" applyFont="1" applyFill="1" applyBorder="1" applyAlignment="1">
      <alignment horizontal="center" vertical="center" wrapText="1"/>
    </xf>
  </cellXfs>
  <cellStyles count="13">
    <cellStyle name="Dziesiętny" xfId="2" builtinId="3"/>
    <cellStyle name="Normalny" xfId="0" builtinId="0"/>
    <cellStyle name="Procentowy" xfId="3" builtinId="5"/>
    <cellStyle name="S0" xfId="9" xr:uid="{00000000-0005-0000-0000-000003000000}"/>
    <cellStyle name="S10" xfId="6" xr:uid="{00000000-0005-0000-0000-000004000000}"/>
    <cellStyle name="S11" xfId="7" xr:uid="{00000000-0005-0000-0000-000005000000}"/>
    <cellStyle name="S14" xfId="4" xr:uid="{00000000-0005-0000-0000-000006000000}"/>
    <cellStyle name="S15" xfId="11" xr:uid="{667CAFB8-96F4-4994-A13C-FAE3F9AF301B}"/>
    <cellStyle name="S17" xfId="12" xr:uid="{24B982A9-E35E-4AC4-8600-484C1AB3C24D}"/>
    <cellStyle name="S5" xfId="8" xr:uid="{00000000-0005-0000-0000-000007000000}"/>
    <cellStyle name="S6" xfId="1" xr:uid="{00000000-0005-0000-0000-000008000000}"/>
    <cellStyle name="S7" xfId="10" xr:uid="{0CC5D371-E3F8-433C-B784-E3B9DA600856}"/>
    <cellStyle name="S8" xfId="5" xr:uid="{00000000-0005-0000-0000-000009000000}"/>
  </cellStyles>
  <dxfs count="0"/>
  <tableStyles count="0" defaultTableStyle="TableStyleMedium2" defaultPivotStyle="PivotStyleLight16"/>
  <colors>
    <mruColors>
      <color rgb="FFDAE7F6"/>
      <color rgb="FFE4EDF8"/>
      <color rgb="FFCDDEF3"/>
      <color rgb="FFEFF4FB"/>
      <color rgb="FFE7EFF9"/>
      <color rgb="FF0000FF"/>
      <color rgb="FFC5D9F1"/>
      <color rgb="FFDCE6F1"/>
      <color rgb="FF000000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osoby bezrobotne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posiadające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obywatelstwo </a:t>
            </a: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ukraińskie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 bezrobotnych ogółem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wg powiatów, w proc.</a:t>
            </a:r>
            <a:endParaRPr lang="en-US" sz="1100" b="0" dirty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8941164248127833"/>
          <c:y val="0.612386590082903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569221475391621"/>
          <c:y val="4.0571346773435428E-2"/>
          <c:w val="0.68372612448717252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T.III!$O$5</c:f>
              <c:strCache>
                <c:ptCount val="1"/>
                <c:pt idx="0">
                  <c:v>najwyższy proc.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C6-4DD1-8401-88C85706C7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C6-4DD1-8401-88C85706C7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C6-4DD1-8401-88C85706C7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C6-4DD1-8401-88C85706C72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C6-4DD1-8401-88C85706C72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0C6-4DD1-8401-88C85706C72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0C6-4DD1-8401-88C85706C72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0C6-4DD1-8401-88C85706C72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0C6-4DD1-8401-88C85706C72D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C6-4DD1-8401-88C85706C7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Georgia" panose="02040502050405020303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T.III!$O$6:$O$26</c:f>
              <c:strCache>
                <c:ptCount val="21"/>
                <c:pt idx="0">
                  <c:v>przemyski + mnpp</c:v>
                </c:pt>
                <c:pt idx="1">
                  <c:v>rzeszowski + mnpp</c:v>
                </c:pt>
                <c:pt idx="2">
                  <c:v>bieszczadzki</c:v>
                </c:pt>
                <c:pt idx="3">
                  <c:v>stalowowolski</c:v>
                </c:pt>
                <c:pt idx="4">
                  <c:v>mielecki</c:v>
                </c:pt>
                <c:pt idx="5">
                  <c:v>sanocki</c:v>
                </c:pt>
                <c:pt idx="6">
                  <c:v>jarosławski</c:v>
                </c:pt>
                <c:pt idx="7">
                  <c:v>leski</c:v>
                </c:pt>
                <c:pt idx="8">
                  <c:v>dębicki</c:v>
                </c:pt>
                <c:pt idx="9">
                  <c:v>tarnobrzeski + mnpp</c:v>
                </c:pt>
                <c:pt idx="10">
                  <c:v>krośnieński + mnpp</c:v>
                </c:pt>
                <c:pt idx="11">
                  <c:v>przeworski</c:v>
                </c:pt>
                <c:pt idx="12">
                  <c:v>ropczycko-sędziszowski</c:v>
                </c:pt>
                <c:pt idx="13">
                  <c:v>łańcucki</c:v>
                </c:pt>
                <c:pt idx="14">
                  <c:v>lubaczowski</c:v>
                </c:pt>
                <c:pt idx="15">
                  <c:v>niżański</c:v>
                </c:pt>
                <c:pt idx="16">
                  <c:v>leżajski</c:v>
                </c:pt>
                <c:pt idx="17">
                  <c:v>jasielski</c:v>
                </c:pt>
                <c:pt idx="18">
                  <c:v>brzozowski</c:v>
                </c:pt>
                <c:pt idx="19">
                  <c:v>strzyżowski</c:v>
                </c:pt>
                <c:pt idx="20">
                  <c:v>kolbuszowski</c:v>
                </c:pt>
              </c:strCache>
            </c:strRef>
          </c:cat>
          <c:val>
            <c:numRef>
              <c:f>T.III!$P$6:$P$26</c:f>
              <c:numCache>
                <c:formatCode>0.0</c:formatCode>
                <c:ptCount val="21"/>
                <c:pt idx="0">
                  <c:v>1.8427294289363256</c:v>
                </c:pt>
                <c:pt idx="1">
                  <c:v>1.5421920465567409</c:v>
                </c:pt>
                <c:pt idx="2">
                  <c:v>1.2589928057553956</c:v>
                </c:pt>
                <c:pt idx="3">
                  <c:v>1.0224948875255624</c:v>
                </c:pt>
                <c:pt idx="4">
                  <c:v>0.91376356367789835</c:v>
                </c:pt>
                <c:pt idx="5">
                  <c:v>0.91264667535853972</c:v>
                </c:pt>
                <c:pt idx="6">
                  <c:v>0.90986034701650442</c:v>
                </c:pt>
                <c:pt idx="7">
                  <c:v>0.8551881413911061</c:v>
                </c:pt>
                <c:pt idx="8">
                  <c:v>0.8214285714285714</c:v>
                </c:pt>
                <c:pt idx="9">
                  <c:v>0.61799922750096559</c:v>
                </c:pt>
                <c:pt idx="10">
                  <c:v>0.60307017543859642</c:v>
                </c:pt>
                <c:pt idx="11">
                  <c:v>0.554016620498615</c:v>
                </c:pt>
                <c:pt idx="12">
                  <c:v>0.51387461459403905</c:v>
                </c:pt>
                <c:pt idx="13">
                  <c:v>0.45644731837200458</c:v>
                </c:pt>
                <c:pt idx="14">
                  <c:v>0.44742729306487694</c:v>
                </c:pt>
                <c:pt idx="15">
                  <c:v>0.44232732221844168</c:v>
                </c:pt>
                <c:pt idx="16">
                  <c:v>0.36654448517160948</c:v>
                </c:pt>
                <c:pt idx="17">
                  <c:v>0.32704886494805696</c:v>
                </c:pt>
                <c:pt idx="18">
                  <c:v>0.19016571583808747</c:v>
                </c:pt>
                <c:pt idx="19">
                  <c:v>9.4280326838466377E-2</c:v>
                </c:pt>
                <c:pt idx="20">
                  <c:v>5.9630292188431723E-2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C6-4DD1-8401-88C85706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6"/>
        <c:axId val="203172864"/>
        <c:axId val="203483008"/>
      </c:barChart>
      <c:catAx>
        <c:axId val="2031728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3483008"/>
        <c:crosses val="autoZero"/>
        <c:auto val="1"/>
        <c:lblAlgn val="ctr"/>
        <c:lblOffset val="100"/>
        <c:noMultiLvlLbl val="0"/>
      </c:catAx>
      <c:valAx>
        <c:axId val="20348300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20317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0">
                <a:latin typeface="Arial" panose="020B0604020202020204" pitchFamily="34" charset="0"/>
                <a:cs typeface="Arial" panose="020B0604020202020204" pitchFamily="34" charset="0"/>
              </a:rPr>
              <a:t>okres I p. w danym roku</a:t>
            </a:r>
          </a:p>
        </c:rich>
      </c:tx>
      <c:layout>
        <c:manualLayout>
          <c:xMode val="edge"/>
          <c:yMode val="edge"/>
          <c:x val="0.33968594752743753"/>
          <c:y val="9.21779542279437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T.XXVII!$K$10</c:f>
              <c:strCache>
                <c:ptCount val="1"/>
                <c:pt idx="0">
                  <c:v>zgłoszenia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T.XXVII!$J$11:$J$29</c:f>
              <c:strCache>
                <c:ptCount val="19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  <c:pt idx="15">
                  <c:v>IP '22</c:v>
                </c:pt>
                <c:pt idx="16">
                  <c:v>IP '23</c:v>
                </c:pt>
                <c:pt idx="17">
                  <c:v>Ip '24</c:v>
                </c:pt>
                <c:pt idx="18">
                  <c:v>Ip'25</c:v>
                </c:pt>
              </c:strCache>
            </c:strRef>
          </c:cat>
          <c:val>
            <c:numRef>
              <c:f>T.XXVII!$K$11:$K$29</c:f>
              <c:numCache>
                <c:formatCode>#,##0</c:formatCode>
                <c:ptCount val="19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  <c:pt idx="10">
                  <c:v>485</c:v>
                </c:pt>
                <c:pt idx="11">
                  <c:v>323</c:v>
                </c:pt>
                <c:pt idx="12">
                  <c:v>835</c:v>
                </c:pt>
                <c:pt idx="13">
                  <c:v>3035</c:v>
                </c:pt>
                <c:pt idx="14">
                  <c:v>88</c:v>
                </c:pt>
                <c:pt idx="15" formatCode="General">
                  <c:v>599</c:v>
                </c:pt>
                <c:pt idx="16" formatCode="General">
                  <c:v>513</c:v>
                </c:pt>
                <c:pt idx="17" formatCode="General">
                  <c:v>276</c:v>
                </c:pt>
                <c:pt idx="18" formatCode="General">
                  <c:v>528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A2-4E54-BA79-78FBB62C2DE6}"/>
            </c:ext>
          </c:extLst>
        </c:ser>
        <c:ser>
          <c:idx val="1"/>
          <c:order val="1"/>
          <c:tx>
            <c:strRef>
              <c:f>T.XXVII!$L$10</c:f>
              <c:strCache>
                <c:ptCount val="1"/>
                <c:pt idx="0">
                  <c:v>zwolnienia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strRef>
              <c:f>T.XXVII!$J$11:$J$29</c:f>
              <c:strCache>
                <c:ptCount val="19"/>
                <c:pt idx="0">
                  <c:v>Ip '07</c:v>
                </c:pt>
                <c:pt idx="1">
                  <c:v>Ip '08</c:v>
                </c:pt>
                <c:pt idx="2">
                  <c:v>Ip '09</c:v>
                </c:pt>
                <c:pt idx="3">
                  <c:v>Ip '10</c:v>
                </c:pt>
                <c:pt idx="4">
                  <c:v>Ip '11</c:v>
                </c:pt>
                <c:pt idx="5">
                  <c:v>Ip '12</c:v>
                </c:pt>
                <c:pt idx="6">
                  <c:v>Ip '13</c:v>
                </c:pt>
                <c:pt idx="7">
                  <c:v>Ip '14</c:v>
                </c:pt>
                <c:pt idx="8">
                  <c:v>Ip '15</c:v>
                </c:pt>
                <c:pt idx="9">
                  <c:v>Ip '16</c:v>
                </c:pt>
                <c:pt idx="10">
                  <c:v>Ip '17</c:v>
                </c:pt>
                <c:pt idx="11">
                  <c:v>Ip '18</c:v>
                </c:pt>
                <c:pt idx="12">
                  <c:v>Ip '19</c:v>
                </c:pt>
                <c:pt idx="13">
                  <c:v>IP '20</c:v>
                </c:pt>
                <c:pt idx="14">
                  <c:v>IP '21</c:v>
                </c:pt>
                <c:pt idx="15">
                  <c:v>IP '22</c:v>
                </c:pt>
                <c:pt idx="16">
                  <c:v>IP '23</c:v>
                </c:pt>
                <c:pt idx="17">
                  <c:v>Ip '24</c:v>
                </c:pt>
                <c:pt idx="18">
                  <c:v>Ip'25</c:v>
                </c:pt>
              </c:strCache>
            </c:strRef>
          </c:cat>
          <c:val>
            <c:numRef>
              <c:f>T.XXVII!$L$11:$L$29</c:f>
              <c:numCache>
                <c:formatCode>#,##0</c:formatCode>
                <c:ptCount val="19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  <c:pt idx="10">
                  <c:v>348</c:v>
                </c:pt>
                <c:pt idx="11">
                  <c:v>358</c:v>
                </c:pt>
                <c:pt idx="12">
                  <c:v>333</c:v>
                </c:pt>
                <c:pt idx="13">
                  <c:v>1230</c:v>
                </c:pt>
                <c:pt idx="14">
                  <c:v>238</c:v>
                </c:pt>
                <c:pt idx="15" formatCode="General">
                  <c:v>204</c:v>
                </c:pt>
                <c:pt idx="16" formatCode="General">
                  <c:v>353</c:v>
                </c:pt>
                <c:pt idx="17" formatCode="General">
                  <c:v>230</c:v>
                </c:pt>
                <c:pt idx="18" formatCode="General">
                  <c:v>302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A2-4E54-BA79-78FBB62C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34656"/>
        <c:axId val="216940544"/>
      </c:lineChart>
      <c:catAx>
        <c:axId val="216934656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2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40544"/>
        <c:crosses val="autoZero"/>
        <c:auto val="1"/>
        <c:lblAlgn val="ctr"/>
        <c:lblOffset val="100"/>
        <c:noMultiLvlLbl val="0"/>
      </c:catAx>
      <c:valAx>
        <c:axId val="216940544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  <a:alpha val="32000"/>
                </a:schemeClr>
              </a:solidFill>
            </a:ln>
          </c:spPr>
        </c:majorGridlines>
        <c:minorGridlines>
          <c:spPr>
            <a:ln w="6350">
              <a:solidFill>
                <a:schemeClr val="tx2">
                  <a:lumMod val="5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934656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8026406253413433"/>
          <c:y val="0.2287686315221733"/>
          <c:w val="0.54390956982473326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b="0">
                <a:latin typeface="Arial" panose="020B0604020202020204" pitchFamily="34" charset="0"/>
                <a:cs typeface="Arial" panose="020B0604020202020204" pitchFamily="34" charset="0"/>
              </a:rPr>
              <a:t>wg poszczególnych lat</a:t>
            </a:r>
          </a:p>
        </c:rich>
      </c:tx>
      <c:layout>
        <c:manualLayout>
          <c:xMode val="edge"/>
          <c:yMode val="edge"/>
          <c:x val="0.36125554207894989"/>
          <c:y val="7.65957857440968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9144709558031465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T.XXVII!$Q$10</c:f>
              <c:strCache>
                <c:ptCount val="1"/>
                <c:pt idx="0">
                  <c:v>zgłoszenia</c:v>
                </c:pt>
              </c:strCache>
            </c:strRef>
          </c:tx>
          <c:spPr>
            <a:ln w="508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T.XXVII!$P$11:$P$29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T.XXVII!$Q$11:$Q$29</c:f>
              <c:numCache>
                <c:formatCode>#,##0</c:formatCode>
                <c:ptCount val="19"/>
                <c:pt idx="0">
                  <c:v>479</c:v>
                </c:pt>
                <c:pt idx="1">
                  <c:v>4570</c:v>
                </c:pt>
                <c:pt idx="2">
                  <c:v>9176</c:v>
                </c:pt>
                <c:pt idx="3">
                  <c:v>1412</c:v>
                </c:pt>
                <c:pt idx="4">
                  <c:v>2730</c:v>
                </c:pt>
                <c:pt idx="5">
                  <c:v>1273</c:v>
                </c:pt>
                <c:pt idx="6">
                  <c:v>2106</c:v>
                </c:pt>
                <c:pt idx="7">
                  <c:v>1311</c:v>
                </c:pt>
                <c:pt idx="8">
                  <c:v>1204</c:v>
                </c:pt>
                <c:pt idx="9">
                  <c:v>720</c:v>
                </c:pt>
                <c:pt idx="10">
                  <c:v>819</c:v>
                </c:pt>
                <c:pt idx="11">
                  <c:v>587</c:v>
                </c:pt>
                <c:pt idx="12">
                  <c:v>1044</c:v>
                </c:pt>
                <c:pt idx="13">
                  <c:v>4716</c:v>
                </c:pt>
                <c:pt idx="14">
                  <c:v>716</c:v>
                </c:pt>
                <c:pt idx="15">
                  <c:v>599</c:v>
                </c:pt>
                <c:pt idx="16">
                  <c:v>760</c:v>
                </c:pt>
                <c:pt idx="17" formatCode="General">
                  <c:v>323</c:v>
                </c:pt>
                <c:pt idx="18" formatCode="General">
                  <c:v>597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C4-4B48-8AD9-E5320572C7B9}"/>
            </c:ext>
          </c:extLst>
        </c:ser>
        <c:ser>
          <c:idx val="1"/>
          <c:order val="1"/>
          <c:tx>
            <c:strRef>
              <c:f>T.XXVII!$R$10</c:f>
              <c:strCache>
                <c:ptCount val="1"/>
                <c:pt idx="0">
                  <c:v>zwolnienia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T.XXVII!$P$11:$P$29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T.XXVII!$R$11:$R$29</c:f>
              <c:numCache>
                <c:formatCode>#,##0</c:formatCode>
                <c:ptCount val="19"/>
                <c:pt idx="0">
                  <c:v>437</c:v>
                </c:pt>
                <c:pt idx="1">
                  <c:v>2154</c:v>
                </c:pt>
                <c:pt idx="2">
                  <c:v>6255</c:v>
                </c:pt>
                <c:pt idx="3">
                  <c:v>1120</c:v>
                </c:pt>
                <c:pt idx="4">
                  <c:v>2048</c:v>
                </c:pt>
                <c:pt idx="5">
                  <c:v>1050</c:v>
                </c:pt>
                <c:pt idx="6">
                  <c:v>1235</c:v>
                </c:pt>
                <c:pt idx="7">
                  <c:v>651</c:v>
                </c:pt>
                <c:pt idx="8">
                  <c:v>1108</c:v>
                </c:pt>
                <c:pt idx="9">
                  <c:v>609</c:v>
                </c:pt>
                <c:pt idx="10">
                  <c:v>557</c:v>
                </c:pt>
                <c:pt idx="11">
                  <c:v>530</c:v>
                </c:pt>
                <c:pt idx="12">
                  <c:v>726</c:v>
                </c:pt>
                <c:pt idx="13">
                  <c:v>2746</c:v>
                </c:pt>
                <c:pt idx="14">
                  <c:v>384</c:v>
                </c:pt>
                <c:pt idx="15">
                  <c:v>204</c:v>
                </c:pt>
                <c:pt idx="16">
                  <c:v>566</c:v>
                </c:pt>
                <c:pt idx="17" formatCode="General">
                  <c:v>399</c:v>
                </c:pt>
                <c:pt idx="18" formatCode="General">
                  <c:v>407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C4-4B48-8AD9-E5320572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961792"/>
        <c:axId val="216963328"/>
      </c:lineChart>
      <c:catAx>
        <c:axId val="216961792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963328"/>
        <c:crosses val="autoZero"/>
        <c:auto val="1"/>
        <c:lblAlgn val="ctr"/>
        <c:lblOffset val="100"/>
        <c:noMultiLvlLbl val="0"/>
      </c:catAx>
      <c:valAx>
        <c:axId val="216963328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rgbClr val="DCE6F1">
                  <a:alpha val="32000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961792"/>
        <c:crosses val="autoZero"/>
        <c:crossBetween val="midCat"/>
        <c:majorUnit val="500"/>
        <c:minorUnit val="100"/>
      </c:valAx>
      <c:spPr>
        <a:noFill/>
      </c:spPr>
    </c:plotArea>
    <c:legend>
      <c:legendPos val="t"/>
      <c:layout>
        <c:manualLayout>
          <c:xMode val="edge"/>
          <c:yMode val="edge"/>
          <c:x val="0.2644745879151375"/>
          <c:y val="0.21305489726514848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+mj-lt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l-PL" sz="900" b="0" i="0" baseline="0">
                <a:effectLst/>
              </a:rPr>
              <a:t>Wskaźnik zatrudnienia ogółem,  województwo podkarpackie</a:t>
            </a:r>
            <a:endParaRPr lang="pl-PL" sz="900"/>
          </a:p>
        </c:rich>
      </c:tx>
      <c:layout>
        <c:manualLayout>
          <c:xMode val="edge"/>
          <c:yMode val="edge"/>
          <c:x val="0.19022064886988985"/>
          <c:y val="1.86480186480186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0.10655397096341979"/>
          <c:w val="0.91870205304823693"/>
          <c:h val="0.78830460877704978"/>
        </c:manualLayout>
      </c:layout>
      <c:lineChart>
        <c:grouping val="standard"/>
        <c:varyColors val="0"/>
        <c:ser>
          <c:idx val="1"/>
          <c:order val="0"/>
          <c:tx>
            <c:strRef>
              <c:f>T.XXVIII!$B$7</c:f>
              <c:strCache>
                <c:ptCount val="1"/>
                <c:pt idx="0">
                  <c:v>Polska, ogółem 15-89</c:v>
                </c:pt>
              </c:strCache>
            </c:strRef>
          </c:tx>
          <c:spPr>
            <a:ln w="73025">
              <a:solidFill>
                <a:schemeClr val="tx2">
                  <a:lumMod val="40000"/>
                  <a:lumOff val="60000"/>
                  <a:alpha val="58000"/>
                </a:schemeClr>
              </a:solidFill>
            </a:ln>
          </c:spPr>
          <c:marker>
            <c:symbol val="none"/>
          </c:marker>
          <c:cat>
            <c:strRef>
              <c:f>T.XXVIII!$C$20:$I$20</c:f>
              <c:strCache>
                <c:ptCount val="7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strCache>
            </c:strRef>
          </c:cat>
          <c:val>
            <c:numRef>
              <c:f>T.XXVIII!$C$7:$I$7</c:f>
              <c:numCache>
                <c:formatCode>0.0</c:formatCode>
                <c:ptCount val="7"/>
                <c:pt idx="0">
                  <c:v>55</c:v>
                </c:pt>
                <c:pt idx="1">
                  <c:v>54.7</c:v>
                </c:pt>
                <c:pt idx="2">
                  <c:v>56.8</c:v>
                </c:pt>
                <c:pt idx="3">
                  <c:v>56.6</c:v>
                </c:pt>
                <c:pt idx="4">
                  <c:v>56.9</c:v>
                </c:pt>
                <c:pt idx="5">
                  <c:v>56.9</c:v>
                </c:pt>
                <c:pt idx="6">
                  <c:v>57.2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73D-48A6-A8B4-03DC16923845}"/>
            </c:ext>
          </c:extLst>
        </c:ser>
        <c:ser>
          <c:idx val="0"/>
          <c:order val="1"/>
          <c:tx>
            <c:strRef>
              <c:f>T.XXVIII!$B$22</c:f>
              <c:strCache>
                <c:ptCount val="1"/>
                <c:pt idx="0">
                  <c:v>województwo podkarpackie, ogółem 15-89</c:v>
                </c:pt>
              </c:strCache>
            </c:strRef>
          </c:tx>
          <c:spPr>
            <a:ln w="666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T.XXVIII!$C$20:$I$20</c:f>
              <c:strCache>
                <c:ptCount val="7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</c:strCache>
            </c:strRef>
          </c:cat>
          <c:val>
            <c:numRef>
              <c:f>T.XXVIII!$C$22:$I$22</c:f>
              <c:numCache>
                <c:formatCode>0.0</c:formatCode>
                <c:ptCount val="7"/>
                <c:pt idx="0">
                  <c:v>49.2</c:v>
                </c:pt>
                <c:pt idx="1">
                  <c:v>49.8</c:v>
                </c:pt>
                <c:pt idx="2">
                  <c:v>50.9</c:v>
                </c:pt>
                <c:pt idx="3">
                  <c:v>50.1</c:v>
                </c:pt>
                <c:pt idx="4">
                  <c:v>51.9</c:v>
                </c:pt>
                <c:pt idx="5">
                  <c:v>52.4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3D-48A6-A8B4-03DC16923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accent1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9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75000"/>
                  <a:alpha val="71000"/>
                </a:schemeClr>
              </a:solidFill>
              <a:prstDash val="sysDot"/>
            </a:ln>
          </c:spPr>
        </c:minorGridlines>
        <c:numFmt formatCode="#,##0.0" sourceLinked="0"/>
        <c:majorTickMark val="out"/>
        <c:minorTickMark val="out"/>
        <c:tickLblPos val="nextTo"/>
        <c:spPr>
          <a:noFill/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368320"/>
        <c:crosses val="autoZero"/>
        <c:crossBetween val="midCat"/>
        <c:majorUnit val="2.5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5324636777570592"/>
          <c:y val="0.66681460272011461"/>
          <c:w val="0.58873776981061332"/>
          <c:h val="0.15975503062117233"/>
        </c:manualLayout>
      </c:layout>
      <c:overlay val="0"/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900" b="0" dirty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Wskaźnik zatrudnienia wg wykształcenia, województwo podkarpackie</a:t>
            </a:r>
            <a:endParaRPr lang="en-US" sz="900" b="0" dirty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273221114783668"/>
          <c:y val="1.3206008823365164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1">
            <a:lumMod val="40000"/>
            <a:lumOff val="60000"/>
            <a:alpha val="7000"/>
          </a:schemeClr>
        </a:solidFill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2.8846037681270392E-2"/>
          <c:y val="8.1217773310251096E-2"/>
          <c:w val="0.89116377609661535"/>
          <c:h val="0.7474174361298362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T.XXVIII!$I$20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1887916336244871E-2"/>
                  <c:y val="6.7622246792591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CB-47F1-AED1-D8B6787E6E8F}"/>
                </c:ext>
              </c:extLst>
            </c:dLbl>
            <c:dLbl>
              <c:idx val="1"/>
              <c:layout>
                <c:manualLayout>
                  <c:x val="-7.143790621572714E-3"/>
                  <c:y val="5.9016250628245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CB-47F1-AED1-D8B6787E6E8F}"/>
                </c:ext>
              </c:extLst>
            </c:dLbl>
            <c:dLbl>
              <c:idx val="2"/>
              <c:layout>
                <c:manualLayout>
                  <c:x val="-2.9614347058688124E-3"/>
                  <c:y val="7.0650695258837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CB-47F1-AED1-D8B6787E6E8F}"/>
                </c:ext>
              </c:extLst>
            </c:dLbl>
            <c:dLbl>
              <c:idx val="3"/>
              <c:layout>
                <c:manualLayout>
                  <c:x val="-6.8722066577607056E-4"/>
                  <c:y val="6.3670296532082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CB-47F1-AED1-D8B6787E6E8F}"/>
                </c:ext>
              </c:extLst>
            </c:dLbl>
            <c:dLbl>
              <c:idx val="4"/>
              <c:layout>
                <c:manualLayout>
                  <c:x val="-1.8957043324974809E-3"/>
                  <c:y val="5.864969006533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CB-47F1-AED1-D8B6787E6E8F}"/>
                </c:ext>
              </c:extLst>
            </c:dLbl>
            <c:dLbl>
              <c:idx val="5"/>
              <c:layout>
                <c:manualLayout>
                  <c:x val="3.792888572848025E-3"/>
                  <c:y val="-2.77099272450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CB-47F1-AED1-D8B6787E6E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T.XXVIII!$M$36:$M$40</c:f>
              <c:strCache>
                <c:ptCount val="5"/>
                <c:pt idx="0">
                  <c:v>wyższe</c:v>
                </c:pt>
                <c:pt idx="1">
                  <c:v>polic. i śr. zaw.</c:v>
                </c:pt>
                <c:pt idx="2">
                  <c:v>śr. ogólnokszt.</c:v>
                </c:pt>
                <c:pt idx="3">
                  <c:v>zas. zaw.</c:v>
                </c:pt>
                <c:pt idx="4">
                  <c:v>gimn., podst. i niep. podst.</c:v>
                </c:pt>
              </c:strCache>
            </c:strRef>
          </c:cat>
          <c:val>
            <c:numRef>
              <c:f>T.XXVIII!$I$29:$I$33</c:f>
              <c:numCache>
                <c:formatCode>0.0</c:formatCode>
                <c:ptCount val="5"/>
                <c:pt idx="0">
                  <c:v>81.5</c:v>
                </c:pt>
                <c:pt idx="1">
                  <c:v>60.2</c:v>
                </c:pt>
                <c:pt idx="2">
                  <c:v>50.2</c:v>
                </c:pt>
                <c:pt idx="3">
                  <c:v>48.4</c:v>
                </c:pt>
                <c:pt idx="4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5CB-47F1-AED1-D8B6787E6E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4"/>
        <c:shape val="box"/>
        <c:axId val="227445376"/>
        <c:axId val="227459840"/>
        <c:axId val="0"/>
      </c:bar3DChart>
      <c:catAx>
        <c:axId val="22744537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pl-PL" sz="8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poziom wykształcenia</a:t>
                </a:r>
              </a:p>
            </c:rich>
          </c:tx>
          <c:layout>
            <c:manualLayout>
              <c:xMode val="edge"/>
              <c:yMode val="edge"/>
              <c:x val="0.30587288420389913"/>
              <c:y val="0.8510912215109801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459840"/>
        <c:crosses val="autoZero"/>
        <c:auto val="1"/>
        <c:lblAlgn val="ctr"/>
        <c:lblOffset val="100"/>
        <c:noMultiLvlLbl val="0"/>
      </c:catAx>
      <c:valAx>
        <c:axId val="227459840"/>
        <c:scaling>
          <c:orientation val="minMax"/>
        </c:scaling>
        <c:delete val="0"/>
        <c:axPos val="r"/>
        <c:majorGridlines>
          <c:spPr>
            <a:ln w="2540">
              <a:solidFill>
                <a:schemeClr val="accent6">
                  <a:lumMod val="40000"/>
                  <a:lumOff val="60000"/>
                </a:schemeClr>
              </a:solidFill>
            </a:ln>
          </c:spPr>
        </c:majorGridlines>
        <c:minorGridlines>
          <c:spPr>
            <a:ln w="3175">
              <a:solidFill>
                <a:schemeClr val="accent1">
                  <a:lumMod val="20000"/>
                  <a:lumOff val="8000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pl-PL" sz="8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 proc.</a:t>
                </a:r>
              </a:p>
            </c:rich>
          </c:tx>
          <c:layout>
            <c:manualLayout>
              <c:xMode val="edge"/>
              <c:yMode val="edge"/>
              <c:x val="0.80560718402906284"/>
              <c:y val="6.4180115783399411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rgbClr val="E8ECFE"/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27445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72914406768849"/>
          <c:y val="0.11817166471212374"/>
          <c:w val="8.2564312604900381E-2"/>
          <c:h val="0.12584948158075984"/>
        </c:manualLayout>
      </c:layout>
      <c:overlay val="0"/>
      <c:txPr>
        <a:bodyPr/>
        <a:lstStyle/>
        <a:p>
          <a:pPr>
            <a:defRPr sz="105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osoby bezrobotne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dirty="0">
                <a:latin typeface="Arial" panose="020B0604020202020204" pitchFamily="34" charset="0"/>
                <a:cs typeface="Arial" panose="020B0604020202020204" pitchFamily="34" charset="0"/>
              </a:rPr>
              <a:t>posiadające obywatelstwo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ukraińskie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 bezrobotnych ogółem</a:t>
            </a:r>
          </a:p>
          <a:p>
            <a:pPr algn="l"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 u="none" baseline="0" dirty="0">
                <a:latin typeface="Arial" panose="020B0604020202020204" pitchFamily="34" charset="0"/>
                <a:cs typeface="Arial" panose="020B0604020202020204" pitchFamily="34" charset="0"/>
              </a:rPr>
              <a:t>wg powiatów, w proc.</a:t>
            </a:r>
            <a:endParaRPr lang="en-US" sz="1100" b="0" dirty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45885319618964421"/>
          <c:y val="0.1441203571870852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485700927562745"/>
          <c:y val="3.3462885832647095E-2"/>
          <c:w val="0.68372612448717252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T.III!$Q$5</c:f>
              <c:strCache>
                <c:ptCount val="1"/>
                <c:pt idx="0">
                  <c:v>najniższy proc.</c:v>
                </c:pt>
              </c:strCache>
            </c:strRef>
          </c:tx>
          <c:spPr>
            <a:solidFill>
              <a:schemeClr val="tx2">
                <a:lumMod val="40000"/>
                <a:lumOff val="60000"/>
                <a:alpha val="66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A1-4E1F-BC82-C7CDF39359D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9A1-4E1F-BC82-C7CDF39359D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9A1-4E1F-BC82-C7CDF39359D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9A1-4E1F-BC82-C7CDF39359D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9A1-4E1F-BC82-C7CDF39359D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9A1-4E1F-BC82-C7CDF39359D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9A1-4E1F-BC82-C7CDF39359D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9A1-4E1F-BC82-C7CDF39359D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9A1-4E1F-BC82-C7CDF39359D0}"/>
              </c:ext>
            </c:extLst>
          </c:dPt>
          <c:dLbls>
            <c:dLbl>
              <c:idx val="0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A1-4E1F-BC82-C7CDF39359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latin typeface="Georgia" panose="02040502050405020303" pitchFamily="18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T.III!$Q$6:$Q$26</c:f>
              <c:strCache>
                <c:ptCount val="21"/>
                <c:pt idx="0">
                  <c:v>kolbuszowski</c:v>
                </c:pt>
                <c:pt idx="1">
                  <c:v>strzyżowski</c:v>
                </c:pt>
                <c:pt idx="2">
                  <c:v>brzozowski</c:v>
                </c:pt>
                <c:pt idx="3">
                  <c:v>jasielski</c:v>
                </c:pt>
                <c:pt idx="4">
                  <c:v>leżajski</c:v>
                </c:pt>
                <c:pt idx="5">
                  <c:v>niżański</c:v>
                </c:pt>
                <c:pt idx="6">
                  <c:v>lubaczowski</c:v>
                </c:pt>
                <c:pt idx="7">
                  <c:v>łańcucki</c:v>
                </c:pt>
                <c:pt idx="8">
                  <c:v>ropczycko-sędziszowski</c:v>
                </c:pt>
                <c:pt idx="9">
                  <c:v>przeworski</c:v>
                </c:pt>
                <c:pt idx="10">
                  <c:v>krośnieński + mnpp</c:v>
                </c:pt>
                <c:pt idx="11">
                  <c:v>tarnobrzeski + mnpp</c:v>
                </c:pt>
                <c:pt idx="12">
                  <c:v>dębicki</c:v>
                </c:pt>
                <c:pt idx="13">
                  <c:v>leski</c:v>
                </c:pt>
                <c:pt idx="14">
                  <c:v>jarosławski</c:v>
                </c:pt>
                <c:pt idx="15">
                  <c:v>sanocki</c:v>
                </c:pt>
                <c:pt idx="16">
                  <c:v>mielecki</c:v>
                </c:pt>
                <c:pt idx="17">
                  <c:v>stalowowolski</c:v>
                </c:pt>
                <c:pt idx="18">
                  <c:v>bieszczadzki</c:v>
                </c:pt>
                <c:pt idx="19">
                  <c:v>rzeszowski + mnpp</c:v>
                </c:pt>
                <c:pt idx="20">
                  <c:v>przemyski + mnpp</c:v>
                </c:pt>
              </c:strCache>
            </c:strRef>
          </c:cat>
          <c:val>
            <c:numRef>
              <c:f>T.III!$R$6:$R$26</c:f>
              <c:numCache>
                <c:formatCode>0.0</c:formatCode>
                <c:ptCount val="21"/>
                <c:pt idx="0">
                  <c:v>5.9630292188431723E-2</c:v>
                </c:pt>
                <c:pt idx="1">
                  <c:v>9.4280326838466377E-2</c:v>
                </c:pt>
                <c:pt idx="2">
                  <c:v>0.19016571583808747</c:v>
                </c:pt>
                <c:pt idx="3">
                  <c:v>0.32704886494805696</c:v>
                </c:pt>
                <c:pt idx="4">
                  <c:v>0.36654448517160948</c:v>
                </c:pt>
                <c:pt idx="5">
                  <c:v>0.44232732221844168</c:v>
                </c:pt>
                <c:pt idx="6">
                  <c:v>0.44742729306487694</c:v>
                </c:pt>
                <c:pt idx="7">
                  <c:v>0.45644731837200458</c:v>
                </c:pt>
                <c:pt idx="8">
                  <c:v>0.51387461459403905</c:v>
                </c:pt>
                <c:pt idx="9">
                  <c:v>0.554016620498615</c:v>
                </c:pt>
                <c:pt idx="10">
                  <c:v>0.60307017543859642</c:v>
                </c:pt>
                <c:pt idx="11">
                  <c:v>0.61799922750096559</c:v>
                </c:pt>
                <c:pt idx="12">
                  <c:v>0.8214285714285714</c:v>
                </c:pt>
                <c:pt idx="13">
                  <c:v>0.8551881413911061</c:v>
                </c:pt>
                <c:pt idx="14">
                  <c:v>0.90986034701650442</c:v>
                </c:pt>
                <c:pt idx="15">
                  <c:v>0.91264667535853972</c:v>
                </c:pt>
                <c:pt idx="16">
                  <c:v>0.91376356367789835</c:v>
                </c:pt>
                <c:pt idx="17">
                  <c:v>1.0224948875255624</c:v>
                </c:pt>
                <c:pt idx="18">
                  <c:v>1.2589928057553956</c:v>
                </c:pt>
                <c:pt idx="19">
                  <c:v>1.5421920465567409</c:v>
                </c:pt>
                <c:pt idx="20">
                  <c:v>1.8427294289363256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A1-4E1F-BC82-C7CDF3935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6"/>
        <c:axId val="165206272"/>
        <c:axId val="165212160"/>
      </c:barChart>
      <c:catAx>
        <c:axId val="165206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10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65212160"/>
        <c:crosses val="autoZero"/>
        <c:auto val="1"/>
        <c:lblAlgn val="ctr"/>
        <c:lblOffset val="100"/>
        <c:noMultiLvlLbl val="0"/>
      </c:catAx>
      <c:valAx>
        <c:axId val="165212160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165206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 cmpd="dbl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57231553627598"/>
          <c:y val="3.8885303271517291E-2"/>
          <c:w val="0.87742768446372388"/>
          <c:h val="0.93538913362701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T.IX!$K$9</c:f>
              <c:strCache>
                <c:ptCount val="1"/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8FE-401D-8A33-D6D492276FA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8FE-401D-8A33-D6D492276FA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8FE-401D-8A33-D6D492276FA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8FE-401D-8A33-D6D492276FA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8FE-401D-8A33-D6D492276FA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8FE-401D-8A33-D6D492276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T.IX!$K$10:$K$34</c:f>
              <c:strCache>
                <c:ptCount val="25"/>
                <c:pt idx="0">
                  <c:v>brzozowski</c:v>
                </c:pt>
                <c:pt idx="1">
                  <c:v>ropczycko-sędziszowski</c:v>
                </c:pt>
                <c:pt idx="2">
                  <c:v>sanocki</c:v>
                </c:pt>
                <c:pt idx="3">
                  <c:v>niżański</c:v>
                </c:pt>
                <c:pt idx="4">
                  <c:v>przemyski</c:v>
                </c:pt>
                <c:pt idx="5">
                  <c:v>bieszczadzki</c:v>
                </c:pt>
                <c:pt idx="6">
                  <c:v>jasielski</c:v>
                </c:pt>
                <c:pt idx="7">
                  <c:v>leżajski</c:v>
                </c:pt>
                <c:pt idx="8">
                  <c:v>krośnieński</c:v>
                </c:pt>
                <c:pt idx="9">
                  <c:v>kolbuszowski</c:v>
                </c:pt>
                <c:pt idx="10">
                  <c:v>leski</c:v>
                </c:pt>
                <c:pt idx="11">
                  <c:v>tarnobrzeski</c:v>
                </c:pt>
                <c:pt idx="12">
                  <c:v>łańcucki</c:v>
                </c:pt>
                <c:pt idx="13">
                  <c:v>strzyżowski</c:v>
                </c:pt>
                <c:pt idx="14">
                  <c:v>Przemyśl</c:v>
                </c:pt>
                <c:pt idx="15">
                  <c:v>lubaczowski</c:v>
                </c:pt>
                <c:pt idx="16">
                  <c:v>jarosławski</c:v>
                </c:pt>
                <c:pt idx="17">
                  <c:v>Rzeszów</c:v>
                </c:pt>
                <c:pt idx="18">
                  <c:v>mielecki</c:v>
                </c:pt>
                <c:pt idx="19">
                  <c:v>dębicki</c:v>
                </c:pt>
                <c:pt idx="20">
                  <c:v>rzeszowski</c:v>
                </c:pt>
                <c:pt idx="21">
                  <c:v>stalowowolski</c:v>
                </c:pt>
                <c:pt idx="22">
                  <c:v>przeworski</c:v>
                </c:pt>
                <c:pt idx="23">
                  <c:v>Krosno</c:v>
                </c:pt>
                <c:pt idx="24">
                  <c:v>Tarnobrzeg</c:v>
                </c:pt>
              </c:strCache>
            </c:strRef>
          </c:cat>
          <c:val>
            <c:numRef>
              <c:f>T.IX!$L$10:$L$34</c:f>
              <c:numCache>
                <c:formatCode>0.0</c:formatCode>
                <c:ptCount val="25"/>
                <c:pt idx="0">
                  <c:v>-13.095238095238095</c:v>
                </c:pt>
                <c:pt idx="1">
                  <c:v>-12.087912087912088</c:v>
                </c:pt>
                <c:pt idx="2">
                  <c:v>-11.891891891891891</c:v>
                </c:pt>
                <c:pt idx="3">
                  <c:v>-11.708253358925145</c:v>
                </c:pt>
                <c:pt idx="4">
                  <c:v>-11.597374179431073</c:v>
                </c:pt>
                <c:pt idx="5">
                  <c:v>-10.457516339869281</c:v>
                </c:pt>
                <c:pt idx="6">
                  <c:v>-9.5375722543352595</c:v>
                </c:pt>
                <c:pt idx="7">
                  <c:v>-7.7272727272727275</c:v>
                </c:pt>
                <c:pt idx="8">
                  <c:v>-7.6771653543307083</c:v>
                </c:pt>
                <c:pt idx="9">
                  <c:v>-6.9444444444444446</c:v>
                </c:pt>
                <c:pt idx="10">
                  <c:v>-5.9925093632958806</c:v>
                </c:pt>
                <c:pt idx="11">
                  <c:v>-5.1282051282051286</c:v>
                </c:pt>
                <c:pt idx="12">
                  <c:v>-3.763440860215054</c:v>
                </c:pt>
                <c:pt idx="13">
                  <c:v>-3.7422037422037424</c:v>
                </c:pt>
                <c:pt idx="14">
                  <c:v>-1.4760147601476015</c:v>
                </c:pt>
                <c:pt idx="15">
                  <c:v>1.4492753623188406</c:v>
                </c:pt>
                <c:pt idx="16">
                  <c:v>4.6089385474860336</c:v>
                </c:pt>
                <c:pt idx="17">
                  <c:v>7.1559633027522933</c:v>
                </c:pt>
                <c:pt idx="18">
                  <c:v>9.502262443438914</c:v>
                </c:pt>
                <c:pt idx="19">
                  <c:v>10.335195530726256</c:v>
                </c:pt>
                <c:pt idx="20">
                  <c:v>10.965630114566284</c:v>
                </c:pt>
                <c:pt idx="21">
                  <c:v>15.25974025974026</c:v>
                </c:pt>
                <c:pt idx="22">
                  <c:v>15.384615384615385</c:v>
                </c:pt>
                <c:pt idx="23">
                  <c:v>16.260162601626018</c:v>
                </c:pt>
                <c:pt idx="24">
                  <c:v>20.895522388059703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FE-401D-8A33-D6D492276F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"/>
        <c:overlap val="6"/>
        <c:axId val="208843520"/>
        <c:axId val="208845056"/>
      </c:barChart>
      <c:catAx>
        <c:axId val="208843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845056"/>
        <c:crosses val="autoZero"/>
        <c:auto val="1"/>
        <c:lblAlgn val="ctr"/>
        <c:lblOffset val="100"/>
        <c:noMultiLvlLbl val="0"/>
      </c:catAx>
      <c:valAx>
        <c:axId val="20884505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extTo"/>
        <c:crossAx val="2088435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/>
              <a:t>3</a:t>
            </a:r>
            <a:r>
              <a:rPr lang="pl-PL"/>
              <a:t>1</a:t>
            </a:r>
            <a:r>
              <a:rPr lang="en-US"/>
              <a:t> </a:t>
            </a:r>
            <a:r>
              <a:rPr lang="pl-PL"/>
              <a:t>XII</a:t>
            </a:r>
            <a:r>
              <a:rPr lang="en-US"/>
              <a:t> </a:t>
            </a:r>
            <a:r>
              <a:rPr lang="pl-PL"/>
              <a:t>20</a:t>
            </a:r>
            <a:r>
              <a:rPr lang="en-US"/>
              <a:t>2</a:t>
            </a:r>
            <a:r>
              <a:rPr lang="pl-PL"/>
              <a:t>5</a:t>
            </a:r>
            <a:r>
              <a:rPr lang="en-US"/>
              <a:t> r.</a:t>
            </a:r>
          </a:p>
        </c:rich>
      </c:tx>
      <c:layout>
        <c:manualLayout>
          <c:xMode val="edge"/>
          <c:yMode val="edge"/>
          <c:x val="7.7198843815409132E-2"/>
          <c:y val="2.6936015020594405E-2"/>
        </c:manualLayout>
      </c:layout>
      <c:overlay val="1"/>
    </c:title>
    <c:autoTitleDeleted val="0"/>
    <c:view3D>
      <c:rotX val="50"/>
      <c:rotY val="70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15387116012931E-2"/>
          <c:y val="5.554702667511089E-2"/>
          <c:w val="0.95264114241558251"/>
          <c:h val="0.94371177798993122"/>
        </c:manualLayout>
      </c:layout>
      <c:pie3DChart>
        <c:varyColors val="1"/>
        <c:ser>
          <c:idx val="0"/>
          <c:order val="0"/>
          <c:tx>
            <c:strRef>
              <c:f>T.XVI!$U$17</c:f>
              <c:strCache>
                <c:ptCount val="1"/>
                <c:pt idx="0">
                  <c:v>31 XII 25 r.</c:v>
                </c:pt>
              </c:strCache>
            </c:strRef>
          </c:tx>
          <c:spPr>
            <a:ln w="3175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h="25400"/>
            </a:sp3d>
          </c:spPr>
          <c:explosion val="2"/>
          <c:dPt>
            <c:idx val="0"/>
            <c:bubble3D val="0"/>
            <c:spPr>
              <a:gradFill>
                <a:gsLst>
                  <a:gs pos="0">
                    <a:srgbClr val="00FF00"/>
                  </a:gs>
                  <a:gs pos="96250">
                    <a:srgbClr val="00FF00"/>
                  </a:gs>
                  <a:gs pos="50000">
                    <a:srgbClr val="00FF00"/>
                  </a:gs>
                  <a:gs pos="100000">
                    <a:srgbClr val="92D050">
                      <a:lumMod val="74000"/>
                      <a:lumOff val="26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1-E07E-4A66-9442-18B1E50BEB7E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3-E07E-4A66-9442-18B1E50BEB7E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5-E07E-4A66-9442-18B1E50BEB7E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F9999">
                      <a:lumMod val="89000"/>
                    </a:srgbClr>
                  </a:gs>
                  <a:gs pos="50000">
                    <a:srgbClr val="FF9999">
                      <a:lumMod val="96000"/>
                      <a:lumOff val="4000"/>
                    </a:srgbClr>
                  </a:gs>
                  <a:gs pos="100000">
                    <a:srgbClr val="FF99CC">
                      <a:lumMod val="99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7-E07E-4A66-9442-18B1E50BEB7E}"/>
              </c:ext>
            </c:extLst>
          </c:dPt>
          <c:dLbls>
            <c:dLbl>
              <c:idx val="0"/>
              <c:layout>
                <c:manualLayout>
                  <c:x val="-0.12134931719659403"/>
                  <c:y val="-0.1730870148578971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do 30 r.ż.</a:t>
                    </a:r>
                  </a:p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tj. 26,9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07E-4A66-9442-18B1E50BEB7E}"/>
                </c:ext>
              </c:extLst>
            </c:dLbl>
            <c:dLbl>
              <c:idx val="1"/>
              <c:layout>
                <c:manualLayout>
                  <c:x val="0.18689363213866253"/>
                  <c:y val="-0.1136884973041806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bezrobotni w wieku 31-50 lat tj. 48,7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07E-4A66-9442-18B1E50BEB7E}"/>
                </c:ext>
              </c:extLst>
            </c:dLbl>
            <c:dLbl>
              <c:idx val="2"/>
              <c:layout>
                <c:manualLayout>
                  <c:x val="-0.16347864676188942"/>
                  <c:y val="0.1325247086494446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pow. 50 lat tj. 24,4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07E-4A66-9442-18B1E50BEB7E}"/>
                </c:ext>
              </c:extLst>
            </c:dLbl>
            <c:dLbl>
              <c:idx val="3"/>
              <c:layout>
                <c:manualLayout>
                  <c:x val="6.8508509327532052E-2"/>
                  <c:y val="-0.3273099215819979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Usługi</a:t>
                    </a:r>
                  </a:p>
                  <a:p>
                    <a:r>
                      <a:rPr lang="pl-PL" sz="800"/>
                      <a:t>31,8 %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07E-4A66-9442-18B1E50BEB7E}"/>
                </c:ext>
              </c:extLst>
            </c:dLbl>
            <c:dLbl>
              <c:idx val="4"/>
              <c:layout>
                <c:manualLayout>
                  <c:x val="-0.31219512845254532"/>
                  <c:y val="-1.0222284161382482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1000 i więcej</a:t>
                    </a:r>
                  </a:p>
                  <a:p>
                    <a:r>
                      <a:rPr lang="en-US" sz="800"/>
                      <a:t>0,0</a:t>
                    </a:r>
                    <a:r>
                      <a:rPr lang="pl-PL" sz="800"/>
                      <a:t>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07E-4A66-9442-18B1E50BEB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T.XVI!$U$18:$U$20</c:f>
              <c:strCache>
                <c:ptCount val="3"/>
                <c:pt idx="0">
                  <c:v>do 30</c:v>
                </c:pt>
                <c:pt idx="1">
                  <c:v>31-50</c:v>
                </c:pt>
                <c:pt idx="2">
                  <c:v>pow.50</c:v>
                </c:pt>
              </c:strCache>
            </c:strRef>
          </c:cat>
          <c:val>
            <c:numRef>
              <c:f>T.XVI!$W$18:$W$20</c:f>
              <c:numCache>
                <c:formatCode>0.0</c:formatCode>
                <c:ptCount val="3"/>
                <c:pt idx="0">
                  <c:v>26.883525999528164</c:v>
                </c:pt>
                <c:pt idx="1">
                  <c:v>48.674003247338987</c:v>
                </c:pt>
                <c:pt idx="2">
                  <c:v>24.442470753132849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7E-4A66-9442-18B1E50BE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/>
              <a:t>3</a:t>
            </a:r>
            <a:r>
              <a:rPr lang="pl-PL"/>
              <a:t>1</a:t>
            </a:r>
            <a:r>
              <a:rPr lang="en-US"/>
              <a:t> </a:t>
            </a:r>
            <a:r>
              <a:rPr lang="pl-PL"/>
              <a:t>XII 20</a:t>
            </a:r>
            <a:r>
              <a:rPr lang="en-US"/>
              <a:t>2</a:t>
            </a:r>
            <a:r>
              <a:rPr lang="pl-PL"/>
              <a:t>4</a:t>
            </a:r>
            <a:r>
              <a:rPr lang="en-US"/>
              <a:t> r.</a:t>
            </a:r>
          </a:p>
        </c:rich>
      </c:tx>
      <c:layout>
        <c:manualLayout>
          <c:xMode val="edge"/>
          <c:yMode val="edge"/>
          <c:x val="7.7198843815409132E-2"/>
          <c:y val="2.6936015020594405E-2"/>
        </c:manualLayout>
      </c:layout>
      <c:overlay val="1"/>
    </c:title>
    <c:autoTitleDeleted val="0"/>
    <c:view3D>
      <c:rotX val="50"/>
      <c:rotY val="70"/>
      <c:depthPercent val="21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15387116012931E-2"/>
          <c:y val="5.554702667511089E-2"/>
          <c:w val="0.95264114241558251"/>
          <c:h val="0.94371177798993122"/>
        </c:manualLayout>
      </c:layout>
      <c:pie3DChart>
        <c:varyColors val="1"/>
        <c:ser>
          <c:idx val="0"/>
          <c:order val="0"/>
          <c:tx>
            <c:strRef>
              <c:f>T.XVI!$AA$17</c:f>
              <c:strCache>
                <c:ptCount val="1"/>
                <c:pt idx="0">
                  <c:v>31 XII 24 r.</c:v>
                </c:pt>
              </c:strCache>
            </c:strRef>
          </c:tx>
          <c:spPr>
            <a:ln w="3175">
              <a:noFill/>
            </a:ln>
            <a:scene3d>
              <a:camera prst="orthographicFront"/>
              <a:lightRig rig="threePt" dir="t">
                <a:rot lat="0" lon="0" rev="1200000"/>
              </a:lightRig>
            </a:scene3d>
            <a:sp3d>
              <a:bevelT h="25400"/>
            </a:sp3d>
          </c:spPr>
          <c:explosion val="2"/>
          <c:dPt>
            <c:idx val="0"/>
            <c:bubble3D val="0"/>
            <c:spPr>
              <a:gradFill>
                <a:gsLst>
                  <a:gs pos="0">
                    <a:srgbClr val="00FF00"/>
                  </a:gs>
                  <a:gs pos="96250">
                    <a:srgbClr val="00FF00"/>
                  </a:gs>
                  <a:gs pos="50000">
                    <a:srgbClr val="00FF00"/>
                  </a:gs>
                  <a:gs pos="100000">
                    <a:srgbClr val="92D050">
                      <a:lumMod val="74000"/>
                      <a:lumOff val="26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1-23DE-494C-9044-53D5F169044E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3-23DE-494C-9044-53D5F169044E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5-23DE-494C-9044-53D5F169044E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rgbClr val="FF9999">
                      <a:lumMod val="89000"/>
                    </a:srgbClr>
                  </a:gs>
                  <a:gs pos="50000">
                    <a:srgbClr val="FF9999">
                      <a:lumMod val="96000"/>
                      <a:lumOff val="4000"/>
                    </a:srgbClr>
                  </a:gs>
                  <a:gs pos="100000">
                    <a:srgbClr val="FF99CC">
                      <a:lumMod val="99000"/>
                    </a:srgbClr>
                  </a:gs>
                </a:gsLst>
                <a:lin ang="5400000" scaled="0"/>
              </a:gradFill>
              <a:ln w="3175">
                <a:noFill/>
              </a:ln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h="25400"/>
              </a:sp3d>
            </c:spPr>
            <c:extLst>
              <c:ext xmlns:c16="http://schemas.microsoft.com/office/drawing/2014/chart" uri="{C3380CC4-5D6E-409C-BE32-E72D297353CC}">
                <c16:uniqueId val="{00000007-23DE-494C-9044-53D5F169044E}"/>
              </c:ext>
            </c:extLst>
          </c:dPt>
          <c:dLbls>
            <c:dLbl>
              <c:idx val="0"/>
              <c:layout>
                <c:manualLayout>
                  <c:x val="-0.12134931719659403"/>
                  <c:y val="-0.1730870148578971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do 30 r.ż.</a:t>
                    </a:r>
                  </a:p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tj. 26,6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3DE-494C-9044-53D5F169044E}"/>
                </c:ext>
              </c:extLst>
            </c:dLbl>
            <c:dLbl>
              <c:idx val="1"/>
              <c:layout>
                <c:manualLayout>
                  <c:x val="0.18689363213866253"/>
                  <c:y val="-0.1136884973041806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bezrobotni w wieku 31-50 lat tj. 48,7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3DE-494C-9044-53D5F169044E}"/>
                </c:ext>
              </c:extLst>
            </c:dLbl>
            <c:dLbl>
              <c:idx val="2"/>
              <c:layout>
                <c:manualLayout>
                  <c:x val="-0.16347864676188942"/>
                  <c:y val="0.1325247086494446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bezr. w wieku pow. 50 lat tj. 24,7 proc.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3DE-494C-9044-53D5F169044E}"/>
                </c:ext>
              </c:extLst>
            </c:dLbl>
            <c:dLbl>
              <c:idx val="3"/>
              <c:layout>
                <c:manualLayout>
                  <c:x val="6.8508509327532052E-2"/>
                  <c:y val="-0.32730992158199795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Usługi</a:t>
                    </a:r>
                  </a:p>
                  <a:p>
                    <a:r>
                      <a:rPr lang="pl-PL" sz="800"/>
                      <a:t>31,8 %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3DE-494C-9044-53D5F169044E}"/>
                </c:ext>
              </c:extLst>
            </c:dLbl>
            <c:dLbl>
              <c:idx val="4"/>
              <c:layout>
                <c:manualLayout>
                  <c:x val="-0.31219512845254532"/>
                  <c:y val="-1.0222284161382482E-2"/>
                </c:manualLayout>
              </c:layout>
              <c:tx>
                <c:rich>
                  <a:bodyPr/>
                  <a:lstStyle/>
                  <a:p>
                    <a:r>
                      <a:rPr lang="pl-PL" sz="800"/>
                      <a:t>1000 i więcej</a:t>
                    </a:r>
                  </a:p>
                  <a:p>
                    <a:r>
                      <a:rPr lang="en-US" sz="800"/>
                      <a:t>0,0</a:t>
                    </a:r>
                    <a:r>
                      <a:rPr lang="pl-PL" sz="800"/>
                      <a:t>2 %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3DE-494C-9044-53D5F169044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T.XVI!$AA$18:$AA$20</c:f>
              <c:strCache>
                <c:ptCount val="3"/>
                <c:pt idx="0">
                  <c:v>do 30</c:v>
                </c:pt>
                <c:pt idx="1">
                  <c:v>31-50</c:v>
                </c:pt>
                <c:pt idx="2">
                  <c:v>pow.50</c:v>
                </c:pt>
              </c:strCache>
            </c:strRef>
          </c:cat>
          <c:val>
            <c:numRef>
              <c:f>T.XVI!$AC$18:$AC$20</c:f>
              <c:numCache>
                <c:formatCode>0.0</c:formatCode>
                <c:ptCount val="3"/>
                <c:pt idx="0">
                  <c:v>26.605381965070691</c:v>
                </c:pt>
                <c:pt idx="1">
                  <c:v>48.691635974812883</c:v>
                </c:pt>
                <c:pt idx="2">
                  <c:v>24.702982060116433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3DE-494C-9044-53D5F1690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3175">
      <a:noFill/>
    </a:ln>
    <a:effectLst>
      <a:innerShdw blurRad="63500" dist="50800" dir="11340000">
        <a:schemeClr val="accent4">
          <a:lumMod val="60000"/>
          <a:lumOff val="40000"/>
          <a:alpha val="50000"/>
        </a:schemeClr>
      </a:innerShdw>
    </a:effectLst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100" b="0">
                <a:latin typeface="Arial" panose="020B0604020202020204" pitchFamily="34" charset="0"/>
                <a:cs typeface="Arial" panose="020B0604020202020204" pitchFamily="34" charset="0"/>
              </a:rPr>
              <a:t>oferty ogółem, w półroczach </a:t>
            </a:r>
          </a:p>
        </c:rich>
      </c:tx>
      <c:layout>
        <c:manualLayout>
          <c:xMode val="edge"/>
          <c:yMode val="edge"/>
          <c:x val="8.4798714392203794E-2"/>
          <c:y val="5.61700986964377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88242453865517367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T.XXII!$N$10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571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T.XXII!$M$12:$M$38</c:f>
              <c:strCache>
                <c:ptCount val="27"/>
                <c:pt idx="0">
                  <c:v>Ip.99</c:v>
                </c:pt>
                <c:pt idx="1">
                  <c:v>Ip.00</c:v>
                </c:pt>
                <c:pt idx="2">
                  <c:v>Ip.01</c:v>
                </c:pt>
                <c:pt idx="3">
                  <c:v>Ip.02</c:v>
                </c:pt>
                <c:pt idx="4">
                  <c:v>Ip.03</c:v>
                </c:pt>
                <c:pt idx="5">
                  <c:v>Ip.04</c:v>
                </c:pt>
                <c:pt idx="6">
                  <c:v>Ip.05</c:v>
                </c:pt>
                <c:pt idx="7">
                  <c:v>Ip.06</c:v>
                </c:pt>
                <c:pt idx="8">
                  <c:v>Ip.07</c:v>
                </c:pt>
                <c:pt idx="9">
                  <c:v>Ip.08</c:v>
                </c:pt>
                <c:pt idx="10">
                  <c:v>Ip.09</c:v>
                </c:pt>
                <c:pt idx="11">
                  <c:v>Ip.10</c:v>
                </c:pt>
                <c:pt idx="12">
                  <c:v>Ip.11</c:v>
                </c:pt>
                <c:pt idx="13">
                  <c:v>Ip.12</c:v>
                </c:pt>
                <c:pt idx="14">
                  <c:v>Ip.13</c:v>
                </c:pt>
                <c:pt idx="15">
                  <c:v>Ip.14</c:v>
                </c:pt>
                <c:pt idx="16">
                  <c:v>Ip.15</c:v>
                </c:pt>
                <c:pt idx="17">
                  <c:v>Ip.16</c:v>
                </c:pt>
                <c:pt idx="18">
                  <c:v>Ip.17</c:v>
                </c:pt>
                <c:pt idx="19">
                  <c:v>Ip.18</c:v>
                </c:pt>
                <c:pt idx="20">
                  <c:v>Ip.19</c:v>
                </c:pt>
                <c:pt idx="21">
                  <c:v>Ip.20</c:v>
                </c:pt>
                <c:pt idx="22">
                  <c:v>Ip.21</c:v>
                </c:pt>
                <c:pt idx="23">
                  <c:v>Ip.22</c:v>
                </c:pt>
                <c:pt idx="24">
                  <c:v>Ip.23</c:v>
                </c:pt>
                <c:pt idx="25">
                  <c:v>Ip.24</c:v>
                </c:pt>
                <c:pt idx="26">
                  <c:v>Ip25</c:v>
                </c:pt>
              </c:strCache>
            </c:strRef>
          </c:cat>
          <c:val>
            <c:numRef>
              <c:f>T.XXII!$N$12:$N$38</c:f>
              <c:numCache>
                <c:formatCode>0</c:formatCode>
                <c:ptCount val="27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  <c:pt idx="23">
                  <c:v>27664</c:v>
                </c:pt>
                <c:pt idx="24">
                  <c:v>23753</c:v>
                </c:pt>
                <c:pt idx="25">
                  <c:v>21158</c:v>
                </c:pt>
                <c:pt idx="26" formatCode="General">
                  <c:v>18166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610-4878-94D1-CDA4B4D3B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405888"/>
        <c:axId val="216407424"/>
      </c:lineChart>
      <c:catAx>
        <c:axId val="216405888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accent1">
                <a:lumMod val="60000"/>
                <a:lumOff val="40000"/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16407424"/>
        <c:crosses val="autoZero"/>
        <c:auto val="1"/>
        <c:lblAlgn val="ctr"/>
        <c:lblOffset val="100"/>
        <c:noMultiLvlLbl val="0"/>
      </c:catAx>
      <c:valAx>
        <c:axId val="216407424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rgbClr val="0000FF">
                  <a:alpha val="32000"/>
                </a:srgbClr>
              </a:solidFill>
            </a:ln>
          </c:spPr>
        </c:majorGridlines>
        <c:minorGridlines>
          <c:spPr>
            <a:ln w="6350">
              <a:solidFill>
                <a:schemeClr val="tx2">
                  <a:lumMod val="40000"/>
                  <a:lumOff val="60000"/>
                  <a:alpha val="82000"/>
                </a:schemeClr>
              </a:solidFill>
              <a:prstDash val="sysDot"/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75000"/>
              </a:schemeClr>
            </a:solidFill>
          </a:ln>
        </c:spPr>
        <c:txPr>
          <a:bodyPr/>
          <a:lstStyle/>
          <a:p>
            <a:pPr>
              <a:defRPr sz="700">
                <a:latin typeface="Times New Roman" panose="02020603050405020304" pitchFamily="18" charset="0"/>
                <a:ea typeface="Verdana" panose="020B0604030504040204" pitchFamily="34" charset="0"/>
                <a:cs typeface="Times New Roman" panose="02020603050405020304" pitchFamily="18" charset="0"/>
              </a:defRPr>
            </a:pPr>
            <a:endParaRPr lang="pl-PL"/>
          </a:p>
        </c:txPr>
        <c:crossAx val="216405888"/>
        <c:crosses val="autoZero"/>
        <c:crossBetween val="midCat"/>
        <c:majorUnit val="2000"/>
        <c:minorUnit val="500"/>
      </c:valAx>
      <c:spPr>
        <a:noFill/>
      </c:spPr>
    </c:plotArea>
    <c:legend>
      <c:legendPos val="t"/>
      <c:layout>
        <c:manualLayout>
          <c:xMode val="edge"/>
          <c:yMode val="edge"/>
          <c:x val="0.19876132796118942"/>
          <c:y val="0.70837410824182467"/>
          <c:w val="0.66345844908285179"/>
          <c:h val="9.1990504863362674E-2"/>
        </c:manualLayout>
      </c:layout>
      <c:overlay val="0"/>
      <c:txPr>
        <a:bodyPr/>
        <a:lstStyle/>
        <a:p>
          <a:pPr>
            <a:defRPr sz="110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10551558753"/>
          <c:y val="5.1400554097404488E-2"/>
          <c:w val="0.87061179402934341"/>
          <c:h val="0.8494546515018955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T.XXII!$J$10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solidFill>
              <a:srgbClr val="C5D9F1"/>
            </a:solidFill>
            <a:ln w="6350" cmpd="sng">
              <a:solidFill>
                <a:schemeClr val="bg1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T.XXII!$I$12:$I$37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T.XXII!$J$12:$J$37</c:f>
              <c:numCache>
                <c:formatCode>0</c:formatCode>
                <c:ptCount val="26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  <c:pt idx="22">
                  <c:v>50760</c:v>
                </c:pt>
                <c:pt idx="23">
                  <c:v>50402</c:v>
                </c:pt>
                <c:pt idx="24">
                  <c:v>43492</c:v>
                </c:pt>
                <c:pt idx="25">
                  <c:v>37922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1-4964-BDEB-E8152E6C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73"/>
        <c:axId val="216728320"/>
        <c:axId val="216729856"/>
      </c:barChart>
      <c:catAx>
        <c:axId val="216728320"/>
        <c:scaling>
          <c:orientation val="minMax"/>
        </c:scaling>
        <c:delete val="0"/>
        <c:axPos val="l"/>
        <c:majorGridlines>
          <c:spPr>
            <a:ln>
              <a:solidFill>
                <a:srgbClr val="C5D9F1">
                  <a:alpha val="38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29856"/>
        <c:crosses val="autoZero"/>
        <c:auto val="1"/>
        <c:lblAlgn val="ctr"/>
        <c:lblOffset val="100"/>
        <c:noMultiLvlLbl val="0"/>
      </c:catAx>
      <c:valAx>
        <c:axId val="216729856"/>
        <c:scaling>
          <c:orientation val="minMax"/>
          <c:max val="80000"/>
          <c:min val="0"/>
        </c:scaling>
        <c:delete val="0"/>
        <c:axPos val="b"/>
        <c:minorGridlines>
          <c:spPr>
            <a:ln>
              <a:solidFill>
                <a:schemeClr val="accent2">
                  <a:lumMod val="20000"/>
                  <a:lumOff val="80000"/>
                  <a:alpha val="33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  <a:alpha val="52000"/>
              </a:schemeClr>
            </a:solidFill>
          </a:ln>
        </c:spPr>
        <c:txPr>
          <a:bodyPr/>
          <a:lstStyle/>
          <a:p>
            <a:pPr>
              <a:defRPr sz="9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28320"/>
        <c:crosses val="autoZero"/>
        <c:crossBetween val="between"/>
        <c:majorUnit val="10000"/>
        <c:min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T.XXII!$J$10</c:f>
              <c:strCache>
                <c:ptCount val="1"/>
                <c:pt idx="0">
                  <c:v>oferty og. w roku</c:v>
                </c:pt>
              </c:strCache>
            </c:strRef>
          </c:tx>
          <c:spPr>
            <a:ln w="63500">
              <a:solidFill>
                <a:schemeClr val="tx2">
                  <a:lumMod val="60000"/>
                  <a:lumOff val="40000"/>
                  <a:alpha val="40000"/>
                </a:schemeClr>
              </a:solidFill>
            </a:ln>
          </c:spPr>
          <c:marker>
            <c:symbol val="circle"/>
            <c:size val="4"/>
            <c:spPr>
              <a:solidFill>
                <a:schemeClr val="bg1"/>
              </a:solidFill>
              <a:ln w="28575">
                <a:solidFill>
                  <a:schemeClr val="tx1"/>
                </a:solidFill>
              </a:ln>
            </c:spPr>
          </c:marker>
          <c:cat>
            <c:numRef>
              <c:f>T.XXII!$I$12:$I$37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T.XXII!$J$12:$J$37</c:f>
              <c:numCache>
                <c:formatCode>0</c:formatCode>
                <c:ptCount val="26"/>
                <c:pt idx="0">
                  <c:v>38322</c:v>
                </c:pt>
                <c:pt idx="1">
                  <c:v>31625</c:v>
                </c:pt>
                <c:pt idx="2">
                  <c:v>25129</c:v>
                </c:pt>
                <c:pt idx="3">
                  <c:v>28470</c:v>
                </c:pt>
                <c:pt idx="4">
                  <c:v>39334</c:v>
                </c:pt>
                <c:pt idx="5">
                  <c:v>40346</c:v>
                </c:pt>
                <c:pt idx="6">
                  <c:v>41016</c:v>
                </c:pt>
                <c:pt idx="7">
                  <c:v>48932</c:v>
                </c:pt>
                <c:pt idx="8">
                  <c:v>49327</c:v>
                </c:pt>
                <c:pt idx="9">
                  <c:v>51046</c:v>
                </c:pt>
                <c:pt idx="10">
                  <c:v>47263</c:v>
                </c:pt>
                <c:pt idx="11">
                  <c:v>57481</c:v>
                </c:pt>
                <c:pt idx="12">
                  <c:v>42554</c:v>
                </c:pt>
                <c:pt idx="13">
                  <c:v>48689</c:v>
                </c:pt>
                <c:pt idx="14">
                  <c:v>54304</c:v>
                </c:pt>
                <c:pt idx="15">
                  <c:v>60555</c:v>
                </c:pt>
                <c:pt idx="16">
                  <c:v>61276</c:v>
                </c:pt>
                <c:pt idx="17">
                  <c:v>72410</c:v>
                </c:pt>
                <c:pt idx="18">
                  <c:v>75836</c:v>
                </c:pt>
                <c:pt idx="19">
                  <c:v>61438</c:v>
                </c:pt>
                <c:pt idx="20">
                  <c:v>53791</c:v>
                </c:pt>
                <c:pt idx="21">
                  <c:v>37090</c:v>
                </c:pt>
                <c:pt idx="22">
                  <c:v>50760</c:v>
                </c:pt>
                <c:pt idx="23">
                  <c:v>50402</c:v>
                </c:pt>
                <c:pt idx="24">
                  <c:v>43492</c:v>
                </c:pt>
                <c:pt idx="25">
                  <c:v>37922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08-4A6D-B741-27412AD17181}"/>
            </c:ext>
          </c:extLst>
        </c:ser>
        <c:ser>
          <c:idx val="1"/>
          <c:order val="1"/>
          <c:tx>
            <c:strRef>
              <c:f>T.XXII!$K$10</c:f>
              <c:strCache>
                <c:ptCount val="1"/>
                <c:pt idx="0">
                  <c:v>w tym subs. w roku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T.XXII!$I$12:$I$37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T.XXII!$K$12:$K$37</c:f>
              <c:numCache>
                <c:formatCode>0</c:formatCode>
                <c:ptCount val="26"/>
                <c:pt idx="0">
                  <c:v>14842</c:v>
                </c:pt>
                <c:pt idx="1">
                  <c:v>14996</c:v>
                </c:pt>
                <c:pt idx="2">
                  <c:v>8521</c:v>
                </c:pt>
                <c:pt idx="3">
                  <c:v>12944</c:v>
                </c:pt>
                <c:pt idx="4">
                  <c:v>22556</c:v>
                </c:pt>
                <c:pt idx="5">
                  <c:v>20038</c:v>
                </c:pt>
                <c:pt idx="6">
                  <c:v>18757</c:v>
                </c:pt>
                <c:pt idx="7">
                  <c:v>20054</c:v>
                </c:pt>
                <c:pt idx="8">
                  <c:v>24494</c:v>
                </c:pt>
                <c:pt idx="9">
                  <c:v>28458</c:v>
                </c:pt>
                <c:pt idx="10">
                  <c:v>28957</c:v>
                </c:pt>
                <c:pt idx="11">
                  <c:v>35663</c:v>
                </c:pt>
                <c:pt idx="12">
                  <c:v>16768</c:v>
                </c:pt>
                <c:pt idx="13">
                  <c:v>25146</c:v>
                </c:pt>
                <c:pt idx="14">
                  <c:v>26050</c:v>
                </c:pt>
                <c:pt idx="15">
                  <c:v>27292</c:v>
                </c:pt>
                <c:pt idx="16">
                  <c:v>28848</c:v>
                </c:pt>
                <c:pt idx="17">
                  <c:v>31407</c:v>
                </c:pt>
                <c:pt idx="18">
                  <c:v>30828</c:v>
                </c:pt>
                <c:pt idx="19">
                  <c:v>20784</c:v>
                </c:pt>
                <c:pt idx="20">
                  <c:v>20491</c:v>
                </c:pt>
                <c:pt idx="21">
                  <c:v>14301</c:v>
                </c:pt>
                <c:pt idx="22">
                  <c:v>17820</c:v>
                </c:pt>
                <c:pt idx="23">
                  <c:v>19293</c:v>
                </c:pt>
                <c:pt idx="24">
                  <c:v>15523</c:v>
                </c:pt>
                <c:pt idx="25">
                  <c:v>13941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F08-4A6D-B741-27412AD1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47008"/>
        <c:axId val="216756992"/>
      </c:lineChart>
      <c:catAx>
        <c:axId val="216747008"/>
        <c:scaling>
          <c:orientation val="minMax"/>
        </c:scaling>
        <c:delete val="0"/>
        <c:axPos val="b"/>
        <c:majorGridlines>
          <c:spPr>
            <a:ln>
              <a:solidFill>
                <a:srgbClr val="0000FF">
                  <a:alpha val="25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56992"/>
        <c:crosses val="autoZero"/>
        <c:auto val="1"/>
        <c:lblAlgn val="ctr"/>
        <c:lblOffset val="100"/>
        <c:noMultiLvlLbl val="0"/>
      </c:catAx>
      <c:valAx>
        <c:axId val="216756992"/>
        <c:scaling>
          <c:orientation val="minMax"/>
        </c:scaling>
        <c:delete val="0"/>
        <c:axPos val="l"/>
        <c:minorGridlines>
          <c:spPr>
            <a:ln>
              <a:solidFill>
                <a:srgbClr val="C5D9F1">
                  <a:alpha val="59000"/>
                </a:srgbClr>
              </a:solidFill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4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2977276264613E-2"/>
          <c:y val="7.2255157978670381E-2"/>
          <c:w val="0.62425671607441391"/>
          <c:h val="0.10659437549709831"/>
        </c:manualLayout>
      </c:layout>
      <c:overlay val="0"/>
      <c:spPr>
        <a:noFill/>
      </c:spPr>
      <c:txPr>
        <a:bodyPr/>
        <a:lstStyle/>
        <a:p>
          <a:pPr>
            <a:defRPr sz="9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4582606029771E-2"/>
          <c:y val="5.1400554097404488E-2"/>
          <c:w val="0.88739828028072809"/>
          <c:h val="0.8326195683872849"/>
        </c:manualLayout>
      </c:layout>
      <c:lineChart>
        <c:grouping val="standard"/>
        <c:varyColors val="0"/>
        <c:ser>
          <c:idx val="2"/>
          <c:order val="0"/>
          <c:tx>
            <c:strRef>
              <c:f>T.XXII!$N$10</c:f>
              <c:strCache>
                <c:ptCount val="1"/>
                <c:pt idx="0">
                  <c:v>oferty og. w Ip. danego roku</c:v>
                </c:pt>
              </c:strCache>
            </c:strRef>
          </c:tx>
          <c:spPr>
            <a:ln w="41275" cmpd="sng">
              <a:solidFill>
                <a:schemeClr val="tx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83-4E83-851A-DD20C3526547}"/>
                </c:ext>
              </c:extLst>
            </c:dLbl>
            <c:dLbl>
              <c:idx val="1"/>
              <c:layout>
                <c:manualLayout>
                  <c:x val="-4.013721042740900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83-4E83-851A-DD20C3526547}"/>
                </c:ext>
              </c:extLst>
            </c:dLbl>
            <c:dLbl>
              <c:idx val="2"/>
              <c:layout>
                <c:manualLayout>
                  <c:x val="-4.0137210427409024E-2"/>
                  <c:y val="2.407131680422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83-4E83-851A-DD20C3526547}"/>
                </c:ext>
              </c:extLst>
            </c:dLbl>
            <c:dLbl>
              <c:idx val="3"/>
              <c:layout>
                <c:manualLayout>
                  <c:x val="-4.0137210427409024E-2"/>
                  <c:y val="2.8528968064263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83-4E83-851A-DD20C3526547}"/>
                </c:ext>
              </c:extLst>
            </c:dLbl>
            <c:dLbl>
              <c:idx val="4"/>
              <c:layout>
                <c:manualLayout>
                  <c:x val="-2.9845618010124659E-2"/>
                  <c:y val="2.8528968064263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83-4E83-851A-DD20C3526547}"/>
                </c:ext>
              </c:extLst>
            </c:dLbl>
            <c:dLbl>
              <c:idx val="5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83-4E83-851A-DD20C3526547}"/>
                </c:ext>
              </c:extLst>
            </c:dLbl>
            <c:dLbl>
              <c:idx val="6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83-4E83-851A-DD20C3526547}"/>
                </c:ext>
              </c:extLst>
            </c:dLbl>
            <c:dLbl>
              <c:idx val="7"/>
              <c:layout>
                <c:manualLayout>
                  <c:x val="-3.8078891943952226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83-4E83-851A-DD20C3526547}"/>
                </c:ext>
              </c:extLst>
            </c:dLbl>
            <c:dLbl>
              <c:idx val="8"/>
              <c:layout>
                <c:manualLayout>
                  <c:x val="-3.8078891943952149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83-4E83-851A-DD20C3526547}"/>
                </c:ext>
              </c:extLst>
            </c:dLbl>
            <c:dLbl>
              <c:idx val="9"/>
              <c:layout>
                <c:manualLayout>
                  <c:x val="-4.0137210427409024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83-4E83-851A-DD20C3526547}"/>
                </c:ext>
              </c:extLst>
            </c:dLbl>
            <c:dLbl>
              <c:idx val="10"/>
              <c:layout>
                <c:manualLayout>
                  <c:x val="-4.0137210427409024E-2"/>
                  <c:y val="-3.387814957631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83-4E83-851A-DD20C3526547}"/>
                </c:ext>
              </c:extLst>
            </c:dLbl>
            <c:dLbl>
              <c:idx val="11"/>
              <c:layout>
                <c:manualLayout>
                  <c:x val="-4.0137210427409024E-2"/>
                  <c:y val="-3.8335800836353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83-4E83-851A-DD20C3526547}"/>
                </c:ext>
              </c:extLst>
            </c:dLbl>
            <c:dLbl>
              <c:idx val="12"/>
              <c:layout>
                <c:manualLayout>
                  <c:x val="-2.7770119860585391E-2"/>
                  <c:y val="-2.9420498316271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83-4E83-851A-DD20C35265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T.XXII!$I$12:$I$38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T.XXII!$N$12:$N$38</c:f>
              <c:numCache>
                <c:formatCode>0</c:formatCode>
                <c:ptCount val="27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  <c:pt idx="20">
                  <c:v>31188</c:v>
                </c:pt>
                <c:pt idx="21">
                  <c:v>15976</c:v>
                </c:pt>
                <c:pt idx="22">
                  <c:v>24927</c:v>
                </c:pt>
                <c:pt idx="23">
                  <c:v>27664</c:v>
                </c:pt>
                <c:pt idx="24">
                  <c:v>23753</c:v>
                </c:pt>
                <c:pt idx="25">
                  <c:v>21158</c:v>
                </c:pt>
                <c:pt idx="26" formatCode="General">
                  <c:v>18166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883-4E83-851A-DD20C3526547}"/>
            </c:ext>
          </c:extLst>
        </c:ser>
        <c:ser>
          <c:idx val="3"/>
          <c:order val="1"/>
          <c:tx>
            <c:strRef>
              <c:f>T.XXII!$P$10</c:f>
              <c:strCache>
                <c:ptCount val="1"/>
                <c:pt idx="0">
                  <c:v>subsydia w Ip. danego roku</c:v>
                </c:pt>
              </c:strCache>
            </c:strRef>
          </c:tx>
          <c:spPr>
            <a:ln w="63500" cmpd="tri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T.XXII!$I$12:$I$38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T.XXII!$P$12:$P$38</c:f>
              <c:numCache>
                <c:formatCode>0</c:formatCode>
                <c:ptCount val="27"/>
                <c:pt idx="2">
                  <c:v>4362</c:v>
                </c:pt>
                <c:pt idx="3">
                  <c:v>4639</c:v>
                </c:pt>
                <c:pt idx="4">
                  <c:v>11201</c:v>
                </c:pt>
                <c:pt idx="6">
                  <c:v>10813</c:v>
                </c:pt>
                <c:pt idx="7">
                  <c:v>9779</c:v>
                </c:pt>
                <c:pt idx="8">
                  <c:v>14414</c:v>
                </c:pt>
                <c:pt idx="9">
                  <c:v>15639</c:v>
                </c:pt>
                <c:pt idx="10">
                  <c:v>16435</c:v>
                </c:pt>
                <c:pt idx="11">
                  <c:v>21368</c:v>
                </c:pt>
                <c:pt idx="12">
                  <c:v>10464</c:v>
                </c:pt>
                <c:pt idx="13">
                  <c:v>12684</c:v>
                </c:pt>
                <c:pt idx="14">
                  <c:v>17521</c:v>
                </c:pt>
                <c:pt idx="15">
                  <c:v>16121</c:v>
                </c:pt>
                <c:pt idx="16">
                  <c:v>16952</c:v>
                </c:pt>
                <c:pt idx="17">
                  <c:v>19558</c:v>
                </c:pt>
                <c:pt idx="18">
                  <c:v>17945</c:v>
                </c:pt>
                <c:pt idx="19">
                  <c:v>12024</c:v>
                </c:pt>
                <c:pt idx="20">
                  <c:v>12447</c:v>
                </c:pt>
                <c:pt idx="21">
                  <c:v>6536</c:v>
                </c:pt>
                <c:pt idx="22">
                  <c:v>9903</c:v>
                </c:pt>
                <c:pt idx="23">
                  <c:v>11166</c:v>
                </c:pt>
                <c:pt idx="24">
                  <c:v>10020</c:v>
                </c:pt>
                <c:pt idx="25">
                  <c:v>9030</c:v>
                </c:pt>
                <c:pt idx="26" formatCode="General">
                  <c:v>8229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A883-4E83-851A-DD20C3526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78240"/>
        <c:axId val="216779776"/>
      </c:lineChart>
      <c:catAx>
        <c:axId val="21677824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  <a:alpha val="2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79776"/>
        <c:crosses val="autoZero"/>
        <c:auto val="1"/>
        <c:lblAlgn val="ctr"/>
        <c:lblOffset val="100"/>
        <c:noMultiLvlLbl val="0"/>
      </c:catAx>
      <c:valAx>
        <c:axId val="216779776"/>
        <c:scaling>
          <c:orientation val="minMax"/>
        </c:scaling>
        <c:delete val="0"/>
        <c:axPos val="l"/>
        <c:minorGridlines>
          <c:spPr>
            <a:ln cmpd="sng">
              <a:solidFill>
                <a:schemeClr val="accent4">
                  <a:lumMod val="20000"/>
                  <a:lumOff val="80000"/>
                </a:schemeClr>
              </a:solidFill>
            </a:ln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5">
                <a:lumMod val="75000"/>
                <a:alpha val="52000"/>
              </a:schemeClr>
            </a:solidFill>
          </a:ln>
        </c:spPr>
        <c:txPr>
          <a:bodyPr/>
          <a:lstStyle/>
          <a:p>
            <a:pPr>
              <a:defRPr sz="8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216778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8002962836436294E-2"/>
          <c:y val="8.172329462791704E-2"/>
          <c:w val="0.44640331671178596"/>
          <c:h val="9.663598347357584E-2"/>
        </c:manualLayout>
      </c:layout>
      <c:overlay val="0"/>
      <c:spPr>
        <a:noFill/>
      </c:spPr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84668</xdr:colOff>
      <xdr:row>2</xdr:row>
      <xdr:rowOff>148168</xdr:rowOff>
    </xdr:from>
    <xdr:to>
      <xdr:col>23</xdr:col>
      <xdr:colOff>571501</xdr:colOff>
      <xdr:row>29</xdr:row>
      <xdr:rowOff>119063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358511</xdr:colOff>
      <xdr:row>3</xdr:row>
      <xdr:rowOff>44979</xdr:rowOff>
    </xdr:from>
    <xdr:to>
      <xdr:col>29</xdr:col>
      <xdr:colOff>231510</xdr:colOff>
      <xdr:row>29</xdr:row>
      <xdr:rowOff>95249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687915</xdr:colOff>
      <xdr:row>1</xdr:row>
      <xdr:rowOff>59532</xdr:rowOff>
    </xdr:from>
    <xdr:to>
      <xdr:col>22</xdr:col>
      <xdr:colOff>202140</xdr:colOff>
      <xdr:row>33</xdr:row>
      <xdr:rowOff>178594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94188</xdr:colOff>
      <xdr:row>2</xdr:row>
      <xdr:rowOff>52916</xdr:rowOff>
    </xdr:from>
    <xdr:to>
      <xdr:col>24</xdr:col>
      <xdr:colOff>478367</xdr:colOff>
      <xdr:row>14</xdr:row>
      <xdr:rowOff>169334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0</xdr:colOff>
      <xdr:row>2</xdr:row>
      <xdr:rowOff>0</xdr:rowOff>
    </xdr:from>
    <xdr:to>
      <xdr:col>31</xdr:col>
      <xdr:colOff>278346</xdr:colOff>
      <xdr:row>14</xdr:row>
      <xdr:rowOff>116418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AB7AC0B-9300-401B-8D81-12ECFECDB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105832</xdr:colOff>
      <xdr:row>0</xdr:row>
      <xdr:rowOff>84665</xdr:rowOff>
    </xdr:from>
    <xdr:to>
      <xdr:col>28</xdr:col>
      <xdr:colOff>357188</xdr:colOff>
      <xdr:row>10</xdr:row>
      <xdr:rowOff>105832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263</xdr:colOff>
      <xdr:row>10</xdr:row>
      <xdr:rowOff>84670</xdr:rowOff>
    </xdr:from>
    <xdr:to>
      <xdr:col>28</xdr:col>
      <xdr:colOff>297656</xdr:colOff>
      <xdr:row>25</xdr:row>
      <xdr:rowOff>74085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3438</xdr:colOff>
      <xdr:row>38</xdr:row>
      <xdr:rowOff>148166</xdr:rowOff>
    </xdr:from>
    <xdr:to>
      <xdr:col>28</xdr:col>
      <xdr:colOff>381000</xdr:colOff>
      <xdr:row>51</xdr:row>
      <xdr:rowOff>179916</xdr:rowOff>
    </xdr:to>
    <xdr:graphicFrame macro="">
      <xdr:nvGraphicFramePr>
        <xdr:cNvPr id="8" name="Wykres 1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511175</xdr:colOff>
      <xdr:row>25</xdr:row>
      <xdr:rowOff>84668</xdr:rowOff>
    </xdr:from>
    <xdr:to>
      <xdr:col>28</xdr:col>
      <xdr:colOff>250031</xdr:colOff>
      <xdr:row>38</xdr:row>
      <xdr:rowOff>148166</xdr:rowOff>
    </xdr:to>
    <xdr:graphicFrame macro="">
      <xdr:nvGraphicFramePr>
        <xdr:cNvPr id="5" name="Wykres 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191822</xdr:colOff>
      <xdr:row>1</xdr:row>
      <xdr:rowOff>54240</xdr:rowOff>
    </xdr:from>
    <xdr:to>
      <xdr:col>27</xdr:col>
      <xdr:colOff>291040</xdr:colOff>
      <xdr:row>11</xdr:row>
      <xdr:rowOff>170655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170657</xdr:colOff>
      <xdr:row>12</xdr:row>
      <xdr:rowOff>148166</xdr:rowOff>
    </xdr:from>
    <xdr:to>
      <xdr:col>27</xdr:col>
      <xdr:colOff>269875</xdr:colOff>
      <xdr:row>25</xdr:row>
      <xdr:rowOff>158748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228601</xdr:colOff>
      <xdr:row>3</xdr:row>
      <xdr:rowOff>57150</xdr:rowOff>
    </xdr:from>
    <xdr:to>
      <xdr:col>20</xdr:col>
      <xdr:colOff>28575</xdr:colOff>
      <xdr:row>19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0A91348-8CEC-415A-91D2-E2D1B542B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276225</xdr:colOff>
      <xdr:row>19</xdr:row>
      <xdr:rowOff>114299</xdr:rowOff>
    </xdr:from>
    <xdr:to>
      <xdr:col>20</xdr:col>
      <xdr:colOff>1</xdr:colOff>
      <xdr:row>36</xdr:row>
      <xdr:rowOff>133349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604FAF47-9389-4941-9FC6-ADC3C0443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M9"/>
  <sheetViews>
    <sheetView tabSelected="1"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0.28515625" style="11" customWidth="1"/>
    <col min="3" max="3" width="10.42578125" style="11" customWidth="1"/>
    <col min="4" max="4" width="9.7109375" style="11" customWidth="1"/>
    <col min="5" max="5" width="8.5703125" style="11" customWidth="1"/>
    <col min="6" max="6" width="10.140625" style="11" customWidth="1"/>
    <col min="7" max="7" width="10" style="11" customWidth="1"/>
    <col min="8" max="8" width="8.140625" style="11" customWidth="1"/>
    <col min="9" max="9" width="12.7109375" style="11" customWidth="1"/>
    <col min="10" max="10" width="12.28515625" style="11" customWidth="1"/>
    <col min="11" max="11" width="4.140625" style="11" customWidth="1"/>
    <col min="12" max="12" width="5.28515625" style="11" customWidth="1"/>
    <col min="13" max="16384" width="9.140625" style="11"/>
  </cols>
  <sheetData>
    <row r="1" spans="2:13" x14ac:dyDescent="0.25">
      <c r="B1" s="11" t="s">
        <v>231</v>
      </c>
    </row>
    <row r="2" spans="2:13" ht="15.75" thickBot="1" x14ac:dyDescent="0.3">
      <c r="B2" s="11" t="s">
        <v>435</v>
      </c>
    </row>
    <row r="3" spans="2:13" ht="30" customHeight="1" x14ac:dyDescent="0.25">
      <c r="B3" s="973" t="s">
        <v>95</v>
      </c>
      <c r="C3" s="976" t="s">
        <v>478</v>
      </c>
      <c r="D3" s="976"/>
      <c r="E3" s="977"/>
      <c r="F3" s="976" t="s">
        <v>508</v>
      </c>
      <c r="G3" s="976"/>
      <c r="H3" s="977"/>
      <c r="I3" s="978" t="s">
        <v>233</v>
      </c>
      <c r="J3" s="981" t="s">
        <v>267</v>
      </c>
    </row>
    <row r="4" spans="2:13" ht="26.25" customHeight="1" x14ac:dyDescent="0.25">
      <c r="B4" s="974"/>
      <c r="C4" s="984" t="s">
        <v>273</v>
      </c>
      <c r="D4" s="986" t="s">
        <v>92</v>
      </c>
      <c r="E4" s="987"/>
      <c r="F4" s="984" t="s">
        <v>273</v>
      </c>
      <c r="G4" s="986" t="s">
        <v>92</v>
      </c>
      <c r="H4" s="987"/>
      <c r="I4" s="979"/>
      <c r="J4" s="982"/>
    </row>
    <row r="5" spans="2:13" ht="34.5" customHeight="1" thickBot="1" x14ac:dyDescent="0.3">
      <c r="B5" s="975"/>
      <c r="C5" s="985"/>
      <c r="D5" s="521" t="s">
        <v>99</v>
      </c>
      <c r="E5" s="522" t="s">
        <v>347</v>
      </c>
      <c r="F5" s="985"/>
      <c r="G5" s="521" t="s">
        <v>99</v>
      </c>
      <c r="H5" s="522" t="s">
        <v>347</v>
      </c>
      <c r="I5" s="980"/>
      <c r="J5" s="983"/>
    </row>
    <row r="6" spans="2:13" ht="34.5" customHeight="1" x14ac:dyDescent="0.25">
      <c r="B6" s="118" t="s">
        <v>4</v>
      </c>
      <c r="C6" s="246">
        <v>67336</v>
      </c>
      <c r="D6" s="46">
        <v>33994</v>
      </c>
      <c r="E6" s="97">
        <f>D6*100/C6</f>
        <v>50.484139242010215</v>
      </c>
      <c r="F6" s="246">
        <v>72059</v>
      </c>
      <c r="G6" s="46">
        <v>35372</v>
      </c>
      <c r="H6" s="97">
        <f>G6*100/F6</f>
        <v>49.087553254971624</v>
      </c>
      <c r="I6" s="55">
        <f>SUM(F6-C6)</f>
        <v>4723</v>
      </c>
      <c r="J6" s="268">
        <f>SUM(I6/C6*100)</f>
        <v>7.0140786503504815</v>
      </c>
      <c r="L6" s="285">
        <f>SUM(G6/F6)*100</f>
        <v>49.087553254971624</v>
      </c>
      <c r="M6" s="136">
        <v>201525</v>
      </c>
    </row>
    <row r="7" spans="2:13" ht="27" customHeight="1" x14ac:dyDescent="0.25">
      <c r="B7" s="12" t="s">
        <v>0</v>
      </c>
      <c r="C7" s="50">
        <v>58374</v>
      </c>
      <c r="D7" s="9">
        <v>28963</v>
      </c>
      <c r="E7" s="7">
        <f>D7*100/C7</f>
        <v>49.616267516360026</v>
      </c>
      <c r="F7" s="50">
        <v>62176</v>
      </c>
      <c r="G7" s="9">
        <v>29979</v>
      </c>
      <c r="H7" s="7">
        <f>G7*100/F7</f>
        <v>48.216353576942872</v>
      </c>
      <c r="I7" s="50">
        <f>SUM(F7-C7)</f>
        <v>3802</v>
      </c>
      <c r="J7" s="267">
        <f>SUM(I7/C7*100)</f>
        <v>6.5131736732106758</v>
      </c>
      <c r="L7" s="285">
        <f>SUM(D6/C6)*100</f>
        <v>50.484139242010215</v>
      </c>
      <c r="M7" s="285">
        <f>SUM(F6)/M6*100</f>
        <v>35.756853988338918</v>
      </c>
    </row>
    <row r="8" spans="2:13" ht="43.5" customHeight="1" x14ac:dyDescent="0.25">
      <c r="B8" s="12" t="s">
        <v>96</v>
      </c>
      <c r="C8" s="50">
        <v>2732</v>
      </c>
      <c r="D8" s="9">
        <v>1384</v>
      </c>
      <c r="E8" s="7">
        <f>D8*100/C8</f>
        <v>50.658857979502194</v>
      </c>
      <c r="F8" s="50">
        <v>2960</v>
      </c>
      <c r="G8" s="9">
        <v>1446</v>
      </c>
      <c r="H8" s="7">
        <f>G8*100/F8</f>
        <v>48.851351351351354</v>
      </c>
      <c r="I8" s="50">
        <f>SUM(F8-C8)</f>
        <v>228</v>
      </c>
      <c r="J8" s="267">
        <f>SUM(I8/C8*100)</f>
        <v>8.3455344070278183</v>
      </c>
    </row>
    <row r="9" spans="2:13" ht="27.75" customHeight="1" thickBot="1" x14ac:dyDescent="0.3">
      <c r="B9" s="86" t="s">
        <v>2</v>
      </c>
      <c r="C9" s="3">
        <v>8962</v>
      </c>
      <c r="D9" s="5">
        <v>5031</v>
      </c>
      <c r="E9" s="8">
        <f>D9*100/C9</f>
        <v>56.137022985940639</v>
      </c>
      <c r="F9" s="3">
        <v>9883</v>
      </c>
      <c r="G9" s="5">
        <v>5393</v>
      </c>
      <c r="H9" s="8">
        <f>G9*100/F9</f>
        <v>54.568450875240309</v>
      </c>
      <c r="I9" s="3">
        <f>SUM(F9-C9)</f>
        <v>921</v>
      </c>
      <c r="J9" s="269">
        <f>SUM(I9/C9*100)</f>
        <v>10.27672394554787</v>
      </c>
    </row>
  </sheetData>
  <mergeCells count="9">
    <mergeCell ref="B3:B5"/>
    <mergeCell ref="F3:H3"/>
    <mergeCell ref="C3:E3"/>
    <mergeCell ref="I3:I5"/>
    <mergeCell ref="J3:J5"/>
    <mergeCell ref="F4:F5"/>
    <mergeCell ref="G4:H4"/>
    <mergeCell ref="C4:C5"/>
    <mergeCell ref="D4:E4"/>
  </mergeCells>
  <pageMargins left="1.299212598425197" right="0.70866141732283472" top="1.1417322834645669" bottom="0.74803149606299213" header="0.31496062992125984" footer="0.31496062992125984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B1:Q41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3.85546875" style="11" customWidth="1"/>
    <col min="3" max="3" width="14.85546875" style="11" customWidth="1"/>
    <col min="4" max="4" width="11.42578125" style="11" customWidth="1"/>
    <col min="5" max="5" width="13.85546875" style="11" customWidth="1"/>
    <col min="6" max="6" width="11.5703125" style="11" customWidth="1"/>
    <col min="7" max="7" width="1.5703125" style="11" customWidth="1"/>
    <col min="8" max="8" width="5" style="11" customWidth="1"/>
    <col min="9" max="9" width="1.42578125" style="11" customWidth="1"/>
    <col min="10" max="10" width="19.85546875" style="11" customWidth="1"/>
    <col min="11" max="11" width="15.42578125" style="11" customWidth="1"/>
    <col min="12" max="12" width="11.7109375" style="11" customWidth="1"/>
    <col min="13" max="13" width="15.7109375" style="11" customWidth="1"/>
    <col min="14" max="14" width="9.140625" style="11"/>
    <col min="15" max="15" width="1.5703125" style="11" customWidth="1"/>
    <col min="16" max="16" width="5.42578125" style="11" customWidth="1"/>
    <col min="17" max="17" width="6.140625" style="11" customWidth="1"/>
    <col min="18" max="16384" width="9.140625" style="11"/>
  </cols>
  <sheetData>
    <row r="1" spans="2:15" x14ac:dyDescent="0.25">
      <c r="B1" s="11" t="s">
        <v>453</v>
      </c>
    </row>
    <row r="2" spans="2:15" ht="15.75" thickBot="1" x14ac:dyDescent="0.3">
      <c r="B2" s="11" t="s">
        <v>452</v>
      </c>
    </row>
    <row r="3" spans="2:15" ht="20.25" customHeight="1" thickBot="1" x14ac:dyDescent="0.3">
      <c r="B3" s="611"/>
      <c r="C3" s="1039" t="s">
        <v>480</v>
      </c>
      <c r="D3" s="1040"/>
      <c r="E3" s="1039" t="s">
        <v>509</v>
      </c>
      <c r="F3" s="1040"/>
    </row>
    <row r="4" spans="2:15" ht="30.75" customHeight="1" thickBot="1" x14ac:dyDescent="0.3">
      <c r="B4" s="612" t="s">
        <v>3</v>
      </c>
      <c r="C4" s="613" t="s">
        <v>58</v>
      </c>
      <c r="D4" s="614" t="s">
        <v>347</v>
      </c>
      <c r="E4" s="613" t="s">
        <v>58</v>
      </c>
      <c r="F4" s="614" t="s">
        <v>347</v>
      </c>
    </row>
    <row r="5" spans="2:15" ht="18" customHeight="1" thickBot="1" x14ac:dyDescent="0.3">
      <c r="B5" s="119" t="s">
        <v>49</v>
      </c>
      <c r="C5" s="122">
        <f>SUM(C7:C12)</f>
        <v>67336</v>
      </c>
      <c r="D5" s="121">
        <f>SUM(D7:D12)</f>
        <v>100.00000000000001</v>
      </c>
      <c r="E5" s="122">
        <f>SUM(E7:E12)</f>
        <v>72059</v>
      </c>
      <c r="F5" s="121">
        <f>SUM(F7:F12)</f>
        <v>100</v>
      </c>
    </row>
    <row r="6" spans="2:15" ht="18" customHeight="1" thickBot="1" x14ac:dyDescent="0.3">
      <c r="B6" s="411" t="s">
        <v>59</v>
      </c>
      <c r="C6" s="264"/>
      <c r="D6" s="264"/>
      <c r="E6" s="264"/>
      <c r="F6" s="265"/>
      <c r="J6" s="136"/>
      <c r="K6" s="618">
        <v>46022</v>
      </c>
      <c r="L6" s="618">
        <v>37072</v>
      </c>
      <c r="M6" s="136"/>
      <c r="N6" s="136"/>
      <c r="O6" s="136"/>
    </row>
    <row r="7" spans="2:15" ht="21" customHeight="1" thickTop="1" x14ac:dyDescent="0.25">
      <c r="B7" s="123" t="s">
        <v>50</v>
      </c>
      <c r="C7" s="124">
        <v>9732</v>
      </c>
      <c r="D7" s="125">
        <f>SUM(C7/C5*100)</f>
        <v>14.452892954734468</v>
      </c>
      <c r="E7" s="126">
        <v>10753</v>
      </c>
      <c r="F7" s="125">
        <f>SUM(E7/E5*100)</f>
        <v>14.922494067361466</v>
      </c>
      <c r="H7" s="342">
        <f>SUM(F7:F8)</f>
        <v>38.931986289013167</v>
      </c>
      <c r="J7" s="342" t="s">
        <v>322</v>
      </c>
      <c r="K7" s="342">
        <f>SUM(F7:F9)</f>
        <v>64.859351364853794</v>
      </c>
      <c r="L7" s="285">
        <v>86.4</v>
      </c>
      <c r="M7" s="342">
        <f>SUM(K7-L7)</f>
        <v>-21.540648635146212</v>
      </c>
      <c r="N7" s="136"/>
    </row>
    <row r="8" spans="2:15" ht="18" customHeight="1" x14ac:dyDescent="0.25">
      <c r="B8" s="12" t="s">
        <v>51</v>
      </c>
      <c r="C8" s="13">
        <v>16821</v>
      </c>
      <c r="D8" s="25">
        <f>SUM(C8/C5*100)</f>
        <v>24.980693833907569</v>
      </c>
      <c r="E8" s="87">
        <v>17301</v>
      </c>
      <c r="F8" s="25">
        <f>SUM(E8/E5*100)</f>
        <v>24.009492221651701</v>
      </c>
      <c r="H8" s="342">
        <f>SUM(D7:D8)</f>
        <v>39.433586788642039</v>
      </c>
      <c r="J8" s="136" t="s">
        <v>323</v>
      </c>
      <c r="K8" s="342">
        <f>SUM(F10:F12)</f>
        <v>35.140648635146199</v>
      </c>
      <c r="L8" s="285">
        <v>13.6</v>
      </c>
      <c r="M8" s="342">
        <f>SUM(K8-L8)</f>
        <v>21.540648635146198</v>
      </c>
      <c r="N8" s="136"/>
    </row>
    <row r="9" spans="2:15" ht="15.75" customHeight="1" x14ac:dyDescent="0.25">
      <c r="B9" s="12" t="s">
        <v>52</v>
      </c>
      <c r="C9" s="13">
        <v>17222</v>
      </c>
      <c r="D9" s="25">
        <f>SUM(C9/C5*100)</f>
        <v>25.576214803374125</v>
      </c>
      <c r="E9" s="87">
        <v>18683</v>
      </c>
      <c r="F9" s="25">
        <f>SUM(E9/E5*100)</f>
        <v>25.92736507584063</v>
      </c>
      <c r="J9" s="136"/>
      <c r="K9" s="342">
        <f>SUM(K7:K8)</f>
        <v>100</v>
      </c>
      <c r="L9" s="285">
        <f>SUM(L7:L8)</f>
        <v>100</v>
      </c>
      <c r="M9" s="342">
        <f>SUM(M7:M8)</f>
        <v>0</v>
      </c>
      <c r="N9" s="136"/>
      <c r="O9" s="143"/>
    </row>
    <row r="10" spans="2:15" x14ac:dyDescent="0.25">
      <c r="B10" s="12" t="s">
        <v>53</v>
      </c>
      <c r="C10" s="13">
        <v>13370</v>
      </c>
      <c r="D10" s="25">
        <f>SUM(C10/C5*100)</f>
        <v>19.855649281216586</v>
      </c>
      <c r="E10" s="87">
        <v>14946</v>
      </c>
      <c r="F10" s="25">
        <f>SUM(E10/E5*100)</f>
        <v>20.74133695999112</v>
      </c>
      <c r="H10" s="136"/>
      <c r="I10" s="136"/>
      <c r="J10" s="136"/>
    </row>
    <row r="11" spans="2:15" x14ac:dyDescent="0.25">
      <c r="B11" s="12" t="s">
        <v>54</v>
      </c>
      <c r="C11" s="13">
        <v>6518</v>
      </c>
      <c r="D11" s="25">
        <f>SUM(C11/C5*100)</f>
        <v>9.679814660805512</v>
      </c>
      <c r="E11" s="87">
        <v>6699</v>
      </c>
      <c r="F11" s="25">
        <f>SUM(E11/E5*100)</f>
        <v>9.2965486615134818</v>
      </c>
    </row>
    <row r="12" spans="2:15" ht="15.75" thickBot="1" x14ac:dyDescent="0.3">
      <c r="B12" s="86" t="s">
        <v>60</v>
      </c>
      <c r="C12" s="18">
        <v>3673</v>
      </c>
      <c r="D12" s="26">
        <f>SUM(C12/C5*100)</f>
        <v>5.454734465961744</v>
      </c>
      <c r="E12" s="88">
        <v>3677</v>
      </c>
      <c r="F12" s="26">
        <f>SUM(E12/E5*100)</f>
        <v>5.1027630136415993</v>
      </c>
    </row>
    <row r="13" spans="2:15" ht="12" customHeight="1" x14ac:dyDescent="0.25"/>
    <row r="14" spans="2:15" x14ac:dyDescent="0.25">
      <c r="B14" s="11" t="s">
        <v>454</v>
      </c>
      <c r="J14" s="11" t="s">
        <v>455</v>
      </c>
    </row>
    <row r="15" spans="2:15" ht="15.75" thickBot="1" x14ac:dyDescent="0.3">
      <c r="B15" s="11" t="s">
        <v>452</v>
      </c>
      <c r="J15" s="11" t="s">
        <v>436</v>
      </c>
    </row>
    <row r="16" spans="2:15" ht="22.5" customHeight="1" thickBot="1" x14ac:dyDescent="0.3">
      <c r="B16" s="611"/>
      <c r="C16" s="1039" t="s">
        <v>480</v>
      </c>
      <c r="D16" s="1040"/>
      <c r="E16" s="1039" t="s">
        <v>509</v>
      </c>
      <c r="F16" s="1040"/>
      <c r="J16" s="611"/>
      <c r="K16" s="615" t="s">
        <v>480</v>
      </c>
      <c r="L16" s="616"/>
      <c r="M16" s="615" t="s">
        <v>509</v>
      </c>
      <c r="N16" s="616"/>
    </row>
    <row r="17" spans="2:17" ht="34.5" customHeight="1" thickBot="1" x14ac:dyDescent="0.3">
      <c r="B17" s="612" t="s">
        <v>3</v>
      </c>
      <c r="C17" s="613" t="s">
        <v>58</v>
      </c>
      <c r="D17" s="614" t="s">
        <v>347</v>
      </c>
      <c r="E17" s="613" t="s">
        <v>58</v>
      </c>
      <c r="F17" s="614" t="s">
        <v>347</v>
      </c>
      <c r="J17" s="612" t="s">
        <v>3</v>
      </c>
      <c r="K17" s="613" t="s">
        <v>58</v>
      </c>
      <c r="L17" s="614" t="s">
        <v>347</v>
      </c>
      <c r="M17" s="613" t="s">
        <v>58</v>
      </c>
      <c r="N17" s="614" t="s">
        <v>347</v>
      </c>
    </row>
    <row r="18" spans="2:17" ht="19.5" customHeight="1" thickBot="1" x14ac:dyDescent="0.3">
      <c r="B18" s="119" t="s">
        <v>49</v>
      </c>
      <c r="C18" s="122">
        <f>SUM(C20:C24)</f>
        <v>67336</v>
      </c>
      <c r="D18" s="121">
        <f>SUM(D20:D24)</f>
        <v>100.00000000000001</v>
      </c>
      <c r="E18" s="122">
        <f>SUM(E20:E24)</f>
        <v>72059</v>
      </c>
      <c r="F18" s="121">
        <f>SUM(F20:F24)</f>
        <v>99.999999999999986</v>
      </c>
      <c r="J18" s="119" t="s">
        <v>49</v>
      </c>
      <c r="K18" s="122">
        <f>SUM(K20:K26)</f>
        <v>67336</v>
      </c>
      <c r="L18" s="121">
        <f>SUM(L20:L26)</f>
        <v>100.00000000000001</v>
      </c>
      <c r="M18" s="122">
        <f>SUM(M20:M26)</f>
        <v>72059</v>
      </c>
      <c r="N18" s="121">
        <f>SUM(N20:N26)</f>
        <v>100</v>
      </c>
    </row>
    <row r="19" spans="2:17" ht="15" customHeight="1" thickBot="1" x14ac:dyDescent="0.3">
      <c r="B19" s="1041" t="s">
        <v>61</v>
      </c>
      <c r="C19" s="1042"/>
      <c r="D19" s="1042"/>
      <c r="E19" s="1042"/>
      <c r="F19" s="1043"/>
      <c r="J19" s="504" t="s">
        <v>139</v>
      </c>
      <c r="K19" s="127"/>
      <c r="L19" s="127"/>
      <c r="M19" s="127"/>
      <c r="N19" s="128"/>
    </row>
    <row r="20" spans="2:17" ht="21.75" customHeight="1" thickTop="1" x14ac:dyDescent="0.25">
      <c r="B20" s="123" t="s">
        <v>62</v>
      </c>
      <c r="C20" s="126">
        <v>10658</v>
      </c>
      <c r="D20" s="125">
        <f>SUM(C20/C18*100)</f>
        <v>15.828086016395391</v>
      </c>
      <c r="E20" s="126">
        <v>11147</v>
      </c>
      <c r="F20" s="125">
        <f>SUM(E20/E18*100)</f>
        <v>15.469268238526762</v>
      </c>
      <c r="H20" s="342">
        <f>SUM(F20)-D20</f>
        <v>-0.35881777786862834</v>
      </c>
      <c r="J20" s="123" t="s">
        <v>55</v>
      </c>
      <c r="K20" s="126">
        <v>14282</v>
      </c>
      <c r="L20" s="125">
        <f>SUM(K20/K18*100)</f>
        <v>21.21005108708566</v>
      </c>
      <c r="M20" s="126">
        <v>15526</v>
      </c>
      <c r="N20" s="125">
        <f>SUM(M20/M18*100)</f>
        <v>21.546232948000942</v>
      </c>
      <c r="P20" s="342">
        <f>SUM(L26)+L20+L21</f>
        <v>60.863431151241535</v>
      </c>
      <c r="Q20" s="342">
        <f>SUM(N26)+N20+N21</f>
        <v>61.659195936663011</v>
      </c>
    </row>
    <row r="21" spans="2:17" ht="30" x14ac:dyDescent="0.25">
      <c r="B21" s="12" t="s">
        <v>63</v>
      </c>
      <c r="C21" s="87">
        <v>18363</v>
      </c>
      <c r="D21" s="25">
        <f>SUM(C21/C18*100)</f>
        <v>27.270702150409885</v>
      </c>
      <c r="E21" s="87">
        <v>19825</v>
      </c>
      <c r="F21" s="25">
        <f>SUM(E21/E18*100)</f>
        <v>27.512177521197906</v>
      </c>
      <c r="H21" s="342">
        <f>SUM(F21,F23)</f>
        <v>54.258316102083015</v>
      </c>
      <c r="J21" s="12" t="s">
        <v>67</v>
      </c>
      <c r="K21" s="87">
        <v>17739</v>
      </c>
      <c r="L21" s="25">
        <f>SUM(K21/K18*100)</f>
        <v>26.344006177973149</v>
      </c>
      <c r="M21" s="87">
        <v>19022</v>
      </c>
      <c r="N21" s="25">
        <f>SUM(M21/M18*100)</f>
        <v>26.397812903315337</v>
      </c>
      <c r="P21" s="617">
        <f>SUM(L20:L21)</f>
        <v>47.554057265058809</v>
      </c>
      <c r="Q21" s="617">
        <f>SUM(N20:N21)</f>
        <v>47.944045851316275</v>
      </c>
    </row>
    <row r="22" spans="2:17" ht="28.5" customHeight="1" x14ac:dyDescent="0.25">
      <c r="B22" s="12" t="s">
        <v>64</v>
      </c>
      <c r="C22" s="87">
        <v>7906</v>
      </c>
      <c r="D22" s="25">
        <f>SUM(C22/C18*100)</f>
        <v>11.741119163597482</v>
      </c>
      <c r="E22" s="87">
        <v>8659</v>
      </c>
      <c r="F22" s="25">
        <f>SUM(E22/E18*100)</f>
        <v>12.016542000305305</v>
      </c>
      <c r="J22" s="12" t="s">
        <v>68</v>
      </c>
      <c r="K22" s="87">
        <v>11154</v>
      </c>
      <c r="L22" s="25">
        <f>SUM(K22/K18*100)</f>
        <v>16.564690507306643</v>
      </c>
      <c r="M22" s="87">
        <v>11755</v>
      </c>
      <c r="N22" s="25">
        <f>SUM(M22/M18*100)</f>
        <v>16.313021274233613</v>
      </c>
    </row>
    <row r="23" spans="2:17" ht="21.75" customHeight="1" x14ac:dyDescent="0.25">
      <c r="B23" s="12" t="s">
        <v>65</v>
      </c>
      <c r="C23" s="87">
        <v>18305</v>
      </c>
      <c r="D23" s="25">
        <f>SUM(C23/C18*100)</f>
        <v>27.184566947843653</v>
      </c>
      <c r="E23" s="87">
        <v>19273</v>
      </c>
      <c r="F23" s="25">
        <f>SUM(E23/E18*100)</f>
        <v>26.746138580885109</v>
      </c>
      <c r="I23" s="283"/>
      <c r="J23" s="12" t="s">
        <v>69</v>
      </c>
      <c r="K23" s="87">
        <v>9544</v>
      </c>
      <c r="L23" s="25">
        <f>SUM(K23/K18*100)</f>
        <v>14.173696091243912</v>
      </c>
      <c r="M23" s="87">
        <v>10102</v>
      </c>
      <c r="N23" s="25">
        <f>SUM(M23/M18*100)</f>
        <v>14.019067708405611</v>
      </c>
    </row>
    <row r="24" spans="2:17" ht="22.5" customHeight="1" thickBot="1" x14ac:dyDescent="0.3">
      <c r="B24" s="86" t="s">
        <v>66</v>
      </c>
      <c r="C24" s="88">
        <v>12104</v>
      </c>
      <c r="D24" s="26">
        <f>SUM(C24/C18*100)</f>
        <v>17.975525721753595</v>
      </c>
      <c r="E24" s="88">
        <v>13155</v>
      </c>
      <c r="F24" s="26">
        <f>SUM(E24/E18*100)</f>
        <v>18.255873659084916</v>
      </c>
      <c r="G24" s="283"/>
      <c r="J24" s="129" t="s">
        <v>70</v>
      </c>
      <c r="K24" s="130">
        <v>4191</v>
      </c>
      <c r="L24" s="29">
        <f>SUM(K24/K18*100)</f>
        <v>6.2240109302601878</v>
      </c>
      <c r="M24" s="130">
        <v>4324</v>
      </c>
      <c r="N24" s="29">
        <f>SUM(M24/M18*100)</f>
        <v>6.000638365783594</v>
      </c>
      <c r="P24" s="342"/>
    </row>
    <row r="25" spans="2:17" ht="22.5" customHeight="1" x14ac:dyDescent="0.25">
      <c r="J25" s="129" t="s">
        <v>57</v>
      </c>
      <c r="K25" s="130">
        <v>1464</v>
      </c>
      <c r="L25" s="29">
        <f>SUM(K25/K18*100)</f>
        <v>2.1741713199477251</v>
      </c>
      <c r="M25" s="130">
        <v>1447</v>
      </c>
      <c r="N25" s="29">
        <f>SUM(M25/M18*100)</f>
        <v>2.0080767149141674</v>
      </c>
      <c r="P25" s="342"/>
    </row>
    <row r="26" spans="2:17" ht="23.25" customHeight="1" thickBot="1" x14ac:dyDescent="0.3">
      <c r="J26" s="86" t="s">
        <v>56</v>
      </c>
      <c r="K26" s="88">
        <v>8962</v>
      </c>
      <c r="L26" s="26">
        <f>SUM(K26/K18*100)</f>
        <v>13.309373886182726</v>
      </c>
      <c r="M26" s="88">
        <v>9883</v>
      </c>
      <c r="N26" s="26">
        <f>SUM(M26/M18*100)</f>
        <v>13.71515008534673</v>
      </c>
    </row>
    <row r="28" spans="2:17" ht="22.5" customHeight="1" x14ac:dyDescent="0.25"/>
    <row r="29" spans="2:17" ht="28.5" customHeight="1" x14ac:dyDescent="0.25"/>
    <row r="30" spans="2:17" ht="21" customHeight="1" x14ac:dyDescent="0.25"/>
    <row r="31" spans="2:17" ht="20.25" customHeight="1" x14ac:dyDescent="0.25"/>
    <row r="32" spans="2:17" ht="15.75" customHeight="1" x14ac:dyDescent="0.25"/>
    <row r="33" spans="3:10" x14ac:dyDescent="0.25">
      <c r="J33" s="342"/>
    </row>
    <row r="41" spans="3:10" x14ac:dyDescent="0.25">
      <c r="C41" s="48"/>
      <c r="D41" s="283"/>
      <c r="F41" s="283"/>
    </row>
  </sheetData>
  <mergeCells count="5">
    <mergeCell ref="C3:D3"/>
    <mergeCell ref="E3:F3"/>
    <mergeCell ref="C16:D16"/>
    <mergeCell ref="E16:F16"/>
    <mergeCell ref="B19:F19"/>
  </mergeCells>
  <pageMargins left="1.4960629921259843" right="0" top="0.6692913385826772" bottom="0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  <pageSetUpPr fitToPage="1"/>
  </sheetPr>
  <dimension ref="B1:Q30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3.7109375" style="11" customWidth="1"/>
    <col min="2" max="2" width="21.5703125" style="11" customWidth="1"/>
    <col min="3" max="4" width="9.140625" style="11" customWidth="1"/>
    <col min="5" max="6" width="8.85546875" style="11" customWidth="1"/>
    <col min="7" max="7" width="13.140625" style="11" customWidth="1"/>
    <col min="8" max="8" width="13.7109375" style="11" customWidth="1"/>
    <col min="9" max="9" width="3" style="11" customWidth="1"/>
    <col min="10" max="10" width="10.5703125" style="11" customWidth="1"/>
    <col min="11" max="11" width="8.85546875" style="11" customWidth="1"/>
    <col min="12" max="12" width="3.28515625" style="135" customWidth="1"/>
    <col min="13" max="14" width="9.140625" style="11"/>
    <col min="15" max="15" width="3.85546875" style="11" customWidth="1"/>
    <col min="16" max="16" width="22.7109375" style="11" customWidth="1"/>
    <col min="17" max="16384" width="9.140625" style="11"/>
  </cols>
  <sheetData>
    <row r="1" spans="2:17" x14ac:dyDescent="0.25">
      <c r="B1" s="11" t="s">
        <v>447</v>
      </c>
    </row>
    <row r="2" spans="2:17" ht="15.75" thickBot="1" x14ac:dyDescent="0.3">
      <c r="B2" s="11" t="s">
        <v>448</v>
      </c>
    </row>
    <row r="3" spans="2:17" ht="24" customHeight="1" x14ac:dyDescent="0.25">
      <c r="B3" s="1046" t="s">
        <v>137</v>
      </c>
      <c r="C3" s="1044" t="s">
        <v>480</v>
      </c>
      <c r="D3" s="1045"/>
      <c r="E3" s="1044" t="s">
        <v>509</v>
      </c>
      <c r="F3" s="1045"/>
      <c r="G3" s="619" t="s">
        <v>224</v>
      </c>
      <c r="H3" s="622"/>
    </row>
    <row r="4" spans="2:17" ht="37.5" customHeight="1" thickBot="1" x14ac:dyDescent="0.3">
      <c r="B4" s="1047"/>
      <c r="C4" s="623" t="s">
        <v>4</v>
      </c>
      <c r="D4" s="480" t="s">
        <v>92</v>
      </c>
      <c r="E4" s="623" t="s">
        <v>4</v>
      </c>
      <c r="F4" s="480" t="s">
        <v>92</v>
      </c>
      <c r="G4" s="620" t="s">
        <v>141</v>
      </c>
      <c r="H4" s="621" t="s">
        <v>490</v>
      </c>
    </row>
    <row r="5" spans="2:17" ht="27.75" customHeight="1" thickBot="1" x14ac:dyDescent="0.3">
      <c r="B5" s="164" t="s">
        <v>13</v>
      </c>
      <c r="C5" s="552">
        <f>SUM(C8:C28)</f>
        <v>42647</v>
      </c>
      <c r="D5" s="45">
        <f>SUM(D8:D28)</f>
        <v>21744</v>
      </c>
      <c r="E5" s="552">
        <f>SUM(E8:E28)</f>
        <v>45142</v>
      </c>
      <c r="F5" s="45">
        <f>SUM(F8:F28)</f>
        <v>22227</v>
      </c>
      <c r="G5" s="167">
        <f>SUM(E5-C5)</f>
        <v>2495</v>
      </c>
      <c r="H5" s="166">
        <f t="shared" ref="H5:H28" si="0">G5/C5*100</f>
        <v>5.8503528970384782</v>
      </c>
      <c r="J5" s="285">
        <f>SUM(E5/T.I!F6*100)</f>
        <v>62.645887397826783</v>
      </c>
      <c r="K5" s="289"/>
    </row>
    <row r="6" spans="2:17" ht="36.75" thickBot="1" x14ac:dyDescent="0.3">
      <c r="B6" s="300" t="s">
        <v>140</v>
      </c>
      <c r="C6" s="624">
        <v>6270</v>
      </c>
      <c r="D6" s="301">
        <v>3413</v>
      </c>
      <c r="E6" s="624">
        <v>6299</v>
      </c>
      <c r="F6" s="301">
        <v>3344</v>
      </c>
      <c r="G6" s="302">
        <f>SUM(E6-C6)</f>
        <v>29</v>
      </c>
      <c r="H6" s="303">
        <f t="shared" si="0"/>
        <v>0.46251993620414672</v>
      </c>
      <c r="J6" s="604" t="s">
        <v>295</v>
      </c>
      <c r="K6" s="604" t="s">
        <v>296</v>
      </c>
      <c r="M6" s="604" t="s">
        <v>295</v>
      </c>
      <c r="N6" s="604" t="s">
        <v>296</v>
      </c>
      <c r="O6" s="135"/>
      <c r="P6" s="604" t="s">
        <v>555</v>
      </c>
      <c r="Q6" s="604" t="s">
        <v>555</v>
      </c>
    </row>
    <row r="7" spans="2:17" ht="27.75" customHeight="1" thickBot="1" x14ac:dyDescent="0.3">
      <c r="B7" s="171" t="s">
        <v>142</v>
      </c>
      <c r="C7" s="273"/>
      <c r="D7" s="173"/>
      <c r="E7" s="172"/>
      <c r="F7" s="172"/>
      <c r="G7" s="173"/>
      <c r="H7" s="327"/>
      <c r="J7" s="343" t="s">
        <v>91</v>
      </c>
      <c r="K7" s="343" t="s">
        <v>91</v>
      </c>
      <c r="M7" s="343" t="s">
        <v>91</v>
      </c>
      <c r="N7" s="343" t="s">
        <v>91</v>
      </c>
      <c r="O7" s="135"/>
      <c r="P7" s="343" t="s">
        <v>91</v>
      </c>
      <c r="Q7" s="343" t="s">
        <v>91</v>
      </c>
    </row>
    <row r="8" spans="2:17" ht="15" customHeight="1" x14ac:dyDescent="0.25">
      <c r="B8" s="261" t="s">
        <v>14</v>
      </c>
      <c r="C8" s="625">
        <v>725</v>
      </c>
      <c r="D8" s="274">
        <v>338</v>
      </c>
      <c r="E8" s="625">
        <v>704</v>
      </c>
      <c r="F8" s="274">
        <v>325</v>
      </c>
      <c r="G8" s="277">
        <f>SUM(E8-C8)</f>
        <v>-21</v>
      </c>
      <c r="H8" s="169">
        <f t="shared" si="0"/>
        <v>-2.896551724137931</v>
      </c>
      <c r="J8" s="179">
        <f>RANK(E8,E8:E28,0)</f>
        <v>21</v>
      </c>
      <c r="K8" s="179">
        <f>RANK(E8,E8:E28,1)</f>
        <v>1</v>
      </c>
      <c r="L8" s="135">
        <v>1</v>
      </c>
      <c r="M8" s="179">
        <f>RANK(H8,H8:H28,0)</f>
        <v>20</v>
      </c>
      <c r="N8" s="179">
        <f>RANK(H8,H8:H28,1)</f>
        <v>2</v>
      </c>
      <c r="O8" s="135">
        <v>1</v>
      </c>
      <c r="P8" s="927" t="str">
        <f>INDEX(B8:H28,MATCH(1,J8:J28,0),1)</f>
        <v>rzeszowski</v>
      </c>
      <c r="Q8" s="179">
        <f>INDEX(B8:H28,MATCH(1,J8:J28,0),4)</f>
        <v>3935</v>
      </c>
    </row>
    <row r="9" spans="2:17" ht="16.5" customHeight="1" x14ac:dyDescent="0.25">
      <c r="B9" s="175" t="s">
        <v>15</v>
      </c>
      <c r="C9" s="626">
        <v>3473</v>
      </c>
      <c r="D9" s="275">
        <v>1697</v>
      </c>
      <c r="E9" s="626">
        <v>3367</v>
      </c>
      <c r="F9" s="275">
        <v>1623</v>
      </c>
      <c r="G9" s="278">
        <f>SUM(E9-C9)</f>
        <v>-106</v>
      </c>
      <c r="H9" s="266">
        <f t="shared" si="0"/>
        <v>-3.0521163259429889</v>
      </c>
      <c r="J9" s="9">
        <f>RANK(E9,E8:E28,0)</f>
        <v>3</v>
      </c>
      <c r="K9" s="9">
        <f>RANK(E9,E8:E28,1)</f>
        <v>19</v>
      </c>
      <c r="L9" s="135">
        <v>2</v>
      </c>
      <c r="M9" s="9">
        <f>RANK(H9,H8:H28,0)</f>
        <v>21</v>
      </c>
      <c r="N9" s="9">
        <f>RANK(H9,H8:H28,1)</f>
        <v>1</v>
      </c>
      <c r="O9" s="135">
        <v>2</v>
      </c>
      <c r="P9" s="928" t="str">
        <f>INDEX(B8:H28,MATCH(2,J8:J28,0),1)</f>
        <v>jasielski</v>
      </c>
      <c r="Q9" s="9">
        <f>INDEX(B8:H28,MATCH(2,J8:J28,0),4)</f>
        <v>3675</v>
      </c>
    </row>
    <row r="10" spans="2:17" ht="18" customHeight="1" x14ac:dyDescent="0.25">
      <c r="B10" s="175" t="s">
        <v>16</v>
      </c>
      <c r="C10" s="626">
        <v>1361</v>
      </c>
      <c r="D10" s="275">
        <v>817</v>
      </c>
      <c r="E10" s="626">
        <v>1661</v>
      </c>
      <c r="F10" s="275">
        <v>915</v>
      </c>
      <c r="G10" s="278">
        <f>SUM(E10-C10)</f>
        <v>300</v>
      </c>
      <c r="H10" s="266">
        <f t="shared" si="0"/>
        <v>22.042615723732549</v>
      </c>
      <c r="J10" s="9">
        <f>RANK(E10,E8:E28,0)</f>
        <v>15</v>
      </c>
      <c r="K10" s="9">
        <f>RANK(E10,E8:E28,1)</f>
        <v>7</v>
      </c>
      <c r="L10" s="135">
        <v>3</v>
      </c>
      <c r="M10" s="9">
        <f>RANK(H10,H8:H28,0)</f>
        <v>1</v>
      </c>
      <c r="N10" s="9">
        <f>RANK(H10,H8:H28,1)</f>
        <v>21</v>
      </c>
      <c r="O10" s="135">
        <v>3</v>
      </c>
      <c r="P10" s="928" t="str">
        <f>INDEX(B8:H28,MATCH(3,J8:J28,0),1)</f>
        <v>brzozowski</v>
      </c>
      <c r="Q10" s="9">
        <f>INDEX(B8:H28,MATCH(3,J8:J28,0),4)</f>
        <v>3367</v>
      </c>
    </row>
    <row r="11" spans="2:17" x14ac:dyDescent="0.25">
      <c r="B11" s="175" t="s">
        <v>17</v>
      </c>
      <c r="C11" s="626">
        <v>2792</v>
      </c>
      <c r="D11" s="275">
        <v>1437</v>
      </c>
      <c r="E11" s="626">
        <v>2934</v>
      </c>
      <c r="F11" s="275">
        <v>1492</v>
      </c>
      <c r="G11" s="278">
        <f>SUM(E11-C11)</f>
        <v>142</v>
      </c>
      <c r="H11" s="266">
        <f t="shared" si="0"/>
        <v>5.0859598853868198</v>
      </c>
      <c r="J11" s="9">
        <f>RANK(E11,E8:E28,0)</f>
        <v>5</v>
      </c>
      <c r="K11" s="9">
        <f>RANK(E11,E8:E28,1)</f>
        <v>17</v>
      </c>
      <c r="L11" s="135">
        <v>4</v>
      </c>
      <c r="M11" s="9">
        <f>RANK(H11,H8:H28,0)</f>
        <v>12</v>
      </c>
      <c r="N11" s="9">
        <f>RANK(H11,H8:H28,1)</f>
        <v>10</v>
      </c>
      <c r="O11" s="135">
        <v>4</v>
      </c>
      <c r="P11" s="928" t="str">
        <f>INDEX(B8:H28,MATCH(4,J8:J28,0),1)</f>
        <v>przemyski</v>
      </c>
      <c r="Q11" s="9">
        <f>INDEX(B8:H28,MATCH(4,J8:J28,0),4)</f>
        <v>2962</v>
      </c>
    </row>
    <row r="12" spans="2:17" x14ac:dyDescent="0.25">
      <c r="B12" s="175" t="s">
        <v>18</v>
      </c>
      <c r="C12" s="626">
        <v>3508</v>
      </c>
      <c r="D12" s="275">
        <v>2024</v>
      </c>
      <c r="E12" s="626">
        <v>3675</v>
      </c>
      <c r="F12" s="275">
        <v>2031</v>
      </c>
      <c r="G12" s="278">
        <f t="shared" ref="G12:G28" si="1">SUM(E12-C12)</f>
        <v>167</v>
      </c>
      <c r="H12" s="266">
        <f t="shared" si="0"/>
        <v>4.76054732041049</v>
      </c>
      <c r="J12" s="9">
        <f>RANK(E12,E8:E28,0)</f>
        <v>2</v>
      </c>
      <c r="K12" s="9">
        <f>RANK(E12,E8:E28,1)</f>
        <v>20</v>
      </c>
      <c r="L12" s="135">
        <v>5</v>
      </c>
      <c r="M12" s="9">
        <f>RANK(H12,H8:H28,0)</f>
        <v>13</v>
      </c>
      <c r="N12" s="9">
        <f>RANK(H12,H8:H28,1)</f>
        <v>9</v>
      </c>
      <c r="O12" s="135">
        <v>5</v>
      </c>
      <c r="P12" s="928" t="str">
        <f>INDEX(B8:H28,MATCH(5,J8:J28,0),1)</f>
        <v>jarosławski</v>
      </c>
      <c r="Q12" s="9">
        <f>INDEX(B8:H28,MATCH(5,J8:J28,0),4)</f>
        <v>2934</v>
      </c>
    </row>
    <row r="13" spans="2:17" ht="15.75" customHeight="1" x14ac:dyDescent="0.25">
      <c r="B13" s="175" t="s">
        <v>19</v>
      </c>
      <c r="C13" s="626">
        <v>1328</v>
      </c>
      <c r="D13" s="275">
        <v>618</v>
      </c>
      <c r="E13" s="626">
        <v>1456</v>
      </c>
      <c r="F13" s="275">
        <v>669</v>
      </c>
      <c r="G13" s="278">
        <f t="shared" si="1"/>
        <v>128</v>
      </c>
      <c r="H13" s="266">
        <f t="shared" si="0"/>
        <v>9.6385542168674707</v>
      </c>
      <c r="J13" s="9">
        <f>RANK(E13,E8:E28,0)</f>
        <v>17</v>
      </c>
      <c r="K13" s="9">
        <f>RANK(E13,E8:E28,1)</f>
        <v>5</v>
      </c>
      <c r="L13" s="135">
        <v>6</v>
      </c>
      <c r="M13" s="9">
        <f>RANK(H13,H8:H28,0)</f>
        <v>8</v>
      </c>
      <c r="N13" s="9">
        <f>RANK(H13,H8:H28,1)</f>
        <v>14</v>
      </c>
      <c r="O13" s="135">
        <v>6</v>
      </c>
      <c r="P13" s="928" t="str">
        <f>INDEX(B8:H28,MATCH(6,J8:J28,0),1)</f>
        <v>strzyżowski</v>
      </c>
      <c r="Q13" s="9">
        <f>INDEX(B8:H28,MATCH(6,J8:J28,0),4)</f>
        <v>2846</v>
      </c>
    </row>
    <row r="14" spans="2:17" x14ac:dyDescent="0.25">
      <c r="B14" s="175" t="s">
        <v>20</v>
      </c>
      <c r="C14" s="626">
        <v>2130</v>
      </c>
      <c r="D14" s="275">
        <v>1184</v>
      </c>
      <c r="E14" s="626">
        <v>2358</v>
      </c>
      <c r="F14" s="275">
        <v>1247</v>
      </c>
      <c r="G14" s="278">
        <f t="shared" si="1"/>
        <v>228</v>
      </c>
      <c r="H14" s="266">
        <f t="shared" si="0"/>
        <v>10.704225352112676</v>
      </c>
      <c r="J14" s="9">
        <f>RANK(E14,E8:E28,0)</f>
        <v>8</v>
      </c>
      <c r="K14" s="9">
        <f>RANK(E14,E8:E28,1)</f>
        <v>14</v>
      </c>
      <c r="L14" s="135">
        <v>7</v>
      </c>
      <c r="M14" s="9">
        <f>RANK(H14,H8:H28,0)</f>
        <v>5</v>
      </c>
      <c r="N14" s="9">
        <f>RANK(H14,H8:H28,1)</f>
        <v>17</v>
      </c>
      <c r="O14" s="135">
        <v>7</v>
      </c>
      <c r="P14" s="928" t="str">
        <f>INDEX(B8:H28,MATCH(7,J8:J28,0),1)</f>
        <v>przeworski</v>
      </c>
      <c r="Q14" s="9">
        <f>INDEX(B8:H28,MATCH(7,J8:J28,0),4)</f>
        <v>2696</v>
      </c>
    </row>
    <row r="15" spans="2:17" x14ac:dyDescent="0.25">
      <c r="B15" s="175" t="s">
        <v>21</v>
      </c>
      <c r="C15" s="626">
        <v>1439</v>
      </c>
      <c r="D15" s="275">
        <v>680</v>
      </c>
      <c r="E15" s="626">
        <v>1466</v>
      </c>
      <c r="F15" s="275">
        <v>681</v>
      </c>
      <c r="G15" s="278">
        <f t="shared" si="1"/>
        <v>27</v>
      </c>
      <c r="H15" s="266">
        <f t="shared" si="0"/>
        <v>1.8763029881862403</v>
      </c>
      <c r="J15" s="9">
        <f>RANK(E15,E8:E28,0)</f>
        <v>16</v>
      </c>
      <c r="K15" s="9">
        <f>RANK(E15,E8:E28,1)</f>
        <v>6</v>
      </c>
      <c r="L15" s="135">
        <v>8</v>
      </c>
      <c r="M15" s="9">
        <f>RANK(H15,H8:H28,0)</f>
        <v>18</v>
      </c>
      <c r="N15" s="9">
        <f>RANK(H15,H8:H28,1)</f>
        <v>4</v>
      </c>
      <c r="O15" s="135">
        <v>8</v>
      </c>
      <c r="P15" s="928" t="str">
        <f>INDEX(B8:H28,MATCH(8,J8:J28,0),1)</f>
        <v>krośnieński</v>
      </c>
      <c r="Q15" s="9">
        <f>INDEX(B8:H28,MATCH(8,J8:J28,0),4)</f>
        <v>2358</v>
      </c>
    </row>
    <row r="16" spans="2:17" x14ac:dyDescent="0.25">
      <c r="B16" s="175" t="s">
        <v>22</v>
      </c>
      <c r="C16" s="626">
        <v>2255</v>
      </c>
      <c r="D16" s="275">
        <v>1194</v>
      </c>
      <c r="E16" s="626">
        <v>2258</v>
      </c>
      <c r="F16" s="275">
        <v>1169</v>
      </c>
      <c r="G16" s="278">
        <f t="shared" si="1"/>
        <v>3</v>
      </c>
      <c r="H16" s="266">
        <f t="shared" si="0"/>
        <v>0.13303769401330376</v>
      </c>
      <c r="J16" s="9">
        <f>RANK(E16,E8:E28,0)</f>
        <v>9</v>
      </c>
      <c r="K16" s="9">
        <f>RANK(E16,E8:E28,1)</f>
        <v>13</v>
      </c>
      <c r="L16" s="135">
        <v>9</v>
      </c>
      <c r="M16" s="9">
        <f>RANK(H16,H8:H28,0)</f>
        <v>19</v>
      </c>
      <c r="N16" s="9">
        <f>RANK(H16,H8:H28,1)</f>
        <v>3</v>
      </c>
      <c r="O16" s="135">
        <v>9</v>
      </c>
      <c r="P16" s="928" t="str">
        <f>INDEX(B8:H28,MATCH(9,J8:J28,0),1)</f>
        <v>leżajski</v>
      </c>
      <c r="Q16" s="9">
        <f>INDEX(B8:H28,MATCH(9,J8:J28,0),4)</f>
        <v>2258</v>
      </c>
    </row>
    <row r="17" spans="2:17" x14ac:dyDescent="0.25">
      <c r="B17" s="175" t="s">
        <v>23</v>
      </c>
      <c r="C17" s="626">
        <v>1117</v>
      </c>
      <c r="D17" s="275">
        <v>512</v>
      </c>
      <c r="E17" s="626">
        <v>1174</v>
      </c>
      <c r="F17" s="275">
        <v>515</v>
      </c>
      <c r="G17" s="278">
        <f t="shared" si="1"/>
        <v>57</v>
      </c>
      <c r="H17" s="266">
        <f t="shared" si="0"/>
        <v>5.1029543419874663</v>
      </c>
      <c r="J17" s="9">
        <f>RANK(E17,E8:E28,0)</f>
        <v>18</v>
      </c>
      <c r="K17" s="9">
        <f>RANK(E17,E8:E28,1)</f>
        <v>4</v>
      </c>
      <c r="L17" s="135">
        <v>10</v>
      </c>
      <c r="M17" s="9">
        <f>RANK(H17,H8:H28,0)</f>
        <v>11</v>
      </c>
      <c r="N17" s="9">
        <f>RANK(H17,H8:H28,1)</f>
        <v>11</v>
      </c>
      <c r="O17" s="135">
        <v>10</v>
      </c>
      <c r="P17" s="928" t="str">
        <f>INDEX(B8:H28,MATCH(10,J8:J28,0),1)</f>
        <v>łańcucki</v>
      </c>
      <c r="Q17" s="9">
        <f>INDEX(B8:H28,MATCH(10,J8:J28,0),4)</f>
        <v>2051</v>
      </c>
    </row>
    <row r="18" spans="2:17" x14ac:dyDescent="0.25">
      <c r="B18" s="175" t="s">
        <v>24</v>
      </c>
      <c r="C18" s="626">
        <v>1958</v>
      </c>
      <c r="D18" s="275">
        <v>916</v>
      </c>
      <c r="E18" s="626">
        <v>2051</v>
      </c>
      <c r="F18" s="275">
        <v>917</v>
      </c>
      <c r="G18" s="278">
        <f t="shared" si="1"/>
        <v>93</v>
      </c>
      <c r="H18" s="266">
        <f t="shared" si="0"/>
        <v>4.7497446373850867</v>
      </c>
      <c r="J18" s="9">
        <f>RANK(E18,E8:E28,0)</f>
        <v>10</v>
      </c>
      <c r="K18" s="9">
        <f>RANK(E18,E8:E28,1)</f>
        <v>12</v>
      </c>
      <c r="L18" s="135">
        <v>11</v>
      </c>
      <c r="M18" s="9">
        <f>RANK(H18,H8:H28,0)</f>
        <v>14</v>
      </c>
      <c r="N18" s="9">
        <f>RANK(H18,H8:H28,1)</f>
        <v>8</v>
      </c>
      <c r="O18" s="135">
        <v>11</v>
      </c>
      <c r="P18" s="928" t="str">
        <f>INDEX(B8:H28,MATCH(11,J8:J28,0),1)</f>
        <v>niżański</v>
      </c>
      <c r="Q18" s="9">
        <f>INDEX(B8:H28,MATCH(11,J8:J28,0),4)</f>
        <v>1965</v>
      </c>
    </row>
    <row r="19" spans="2:17" x14ac:dyDescent="0.25">
      <c r="B19" s="175" t="s">
        <v>25</v>
      </c>
      <c r="C19" s="626">
        <v>1572</v>
      </c>
      <c r="D19" s="275">
        <v>808</v>
      </c>
      <c r="E19" s="626">
        <v>1788</v>
      </c>
      <c r="F19" s="275">
        <v>841</v>
      </c>
      <c r="G19" s="278">
        <f t="shared" si="1"/>
        <v>216</v>
      </c>
      <c r="H19" s="266">
        <f t="shared" si="0"/>
        <v>13.740458015267176</v>
      </c>
      <c r="J19" s="9">
        <f>RANK(E19,E8:E28,0)</f>
        <v>14</v>
      </c>
      <c r="K19" s="9">
        <f>RANK(E19,E8:E28,1)</f>
        <v>8</v>
      </c>
      <c r="L19" s="135">
        <v>12</v>
      </c>
      <c r="M19" s="9">
        <f>RANK(H19,H8:H28,0)</f>
        <v>3</v>
      </c>
      <c r="N19" s="9">
        <f>RANK(H19,H8:H28,1)</f>
        <v>19</v>
      </c>
      <c r="O19" s="135">
        <v>12</v>
      </c>
      <c r="P19" s="928" t="str">
        <f>INDEX(B8:H28,MATCH(12,J8:J28,0),1)</f>
        <v>ropczycko-sędziszowski</v>
      </c>
      <c r="Q19" s="9">
        <f>INDEX(B8:H28,MATCH(12,J8:J28,0),4)</f>
        <v>1921</v>
      </c>
    </row>
    <row r="20" spans="2:17" x14ac:dyDescent="0.25">
      <c r="B20" s="175" t="s">
        <v>26</v>
      </c>
      <c r="C20" s="626">
        <v>1913</v>
      </c>
      <c r="D20" s="275">
        <v>943</v>
      </c>
      <c r="E20" s="626">
        <v>1965</v>
      </c>
      <c r="F20" s="275">
        <v>939</v>
      </c>
      <c r="G20" s="278">
        <f t="shared" si="1"/>
        <v>52</v>
      </c>
      <c r="H20" s="266">
        <f t="shared" si="0"/>
        <v>2.7182435964453737</v>
      </c>
      <c r="J20" s="9">
        <f>RANK(E20,E8:E28,0)</f>
        <v>11</v>
      </c>
      <c r="K20" s="9">
        <f>RANK(E20,E8:E28,1)</f>
        <v>11</v>
      </c>
      <c r="L20" s="135">
        <v>13</v>
      </c>
      <c r="M20" s="9">
        <f>RANK(H20,H8:H28,0)</f>
        <v>15</v>
      </c>
      <c r="N20" s="9">
        <f>RANK(H20,H8:H28,1)</f>
        <v>7</v>
      </c>
      <c r="O20" s="135">
        <v>13</v>
      </c>
      <c r="P20" s="928" t="str">
        <f>INDEX(B8:H28,MATCH(13,J8:J28,0),1)</f>
        <v>sanocki</v>
      </c>
      <c r="Q20" s="9">
        <f>INDEX(B8:H28,MATCH(13,J8:J28,0),4)</f>
        <v>1802</v>
      </c>
    </row>
    <row r="21" spans="2:17" x14ac:dyDescent="0.25">
      <c r="B21" s="176" t="s">
        <v>27</v>
      </c>
      <c r="C21" s="626">
        <v>2885</v>
      </c>
      <c r="D21" s="275">
        <v>1420</v>
      </c>
      <c r="E21" s="626">
        <v>2962</v>
      </c>
      <c r="F21" s="275">
        <v>1363</v>
      </c>
      <c r="G21" s="278">
        <f t="shared" si="1"/>
        <v>77</v>
      </c>
      <c r="H21" s="266">
        <f t="shared" si="0"/>
        <v>2.6689774696707103</v>
      </c>
      <c r="J21" s="9">
        <f>RANK(E21,E8:E28,0)</f>
        <v>4</v>
      </c>
      <c r="K21" s="9">
        <f>RANK(E21,E8:E28,1)</f>
        <v>18</v>
      </c>
      <c r="L21" s="135">
        <v>14</v>
      </c>
      <c r="M21" s="9">
        <f>RANK(H21,H8:H28,0)</f>
        <v>16</v>
      </c>
      <c r="N21" s="9">
        <f>RANK(H21,H8:H28,1)</f>
        <v>6</v>
      </c>
      <c r="O21" s="135">
        <v>14</v>
      </c>
      <c r="P21" s="928" t="str">
        <f>INDEX(B8:H28,MATCH(14,J8:J28,0),1)</f>
        <v>mielecki</v>
      </c>
      <c r="Q21" s="9">
        <f>INDEX(B8:H28,MATCH(14,J8:J28,0),4)</f>
        <v>1788</v>
      </c>
    </row>
    <row r="22" spans="2:17" x14ac:dyDescent="0.25">
      <c r="B22" s="176" t="s">
        <v>28</v>
      </c>
      <c r="C22" s="626">
        <v>2528</v>
      </c>
      <c r="D22" s="275">
        <v>1326</v>
      </c>
      <c r="E22" s="626">
        <v>2696</v>
      </c>
      <c r="F22" s="275">
        <v>1379</v>
      </c>
      <c r="G22" s="278">
        <f t="shared" si="1"/>
        <v>168</v>
      </c>
      <c r="H22" s="266">
        <f t="shared" si="0"/>
        <v>6.6455696202531636</v>
      </c>
      <c r="J22" s="9">
        <f>RANK(E22,E8:E28,0)</f>
        <v>7</v>
      </c>
      <c r="K22" s="9">
        <f>RANK(E22,E8:E28,1)</f>
        <v>15</v>
      </c>
      <c r="L22" s="135">
        <v>15</v>
      </c>
      <c r="M22" s="9">
        <f>RANK(H22,H8:H28,0)</f>
        <v>9</v>
      </c>
      <c r="N22" s="9">
        <f>RANK(H22,H8:H28,1)</f>
        <v>13</v>
      </c>
      <c r="O22" s="135">
        <v>15</v>
      </c>
      <c r="P22" s="928" t="str">
        <f>INDEX(B8:H28,MATCH(15,J8:J28,0),1)</f>
        <v>dębicki</v>
      </c>
      <c r="Q22" s="9">
        <f>INDEX(B8:H28,MATCH(15,J8:J28,0),4)</f>
        <v>1661</v>
      </c>
    </row>
    <row r="23" spans="2:17" x14ac:dyDescent="0.25">
      <c r="B23" s="176" t="s">
        <v>29</v>
      </c>
      <c r="C23" s="626">
        <v>1742</v>
      </c>
      <c r="D23" s="275">
        <v>898</v>
      </c>
      <c r="E23" s="626">
        <v>1921</v>
      </c>
      <c r="F23" s="275">
        <v>961</v>
      </c>
      <c r="G23" s="278">
        <f t="shared" si="1"/>
        <v>179</v>
      </c>
      <c r="H23" s="266">
        <f t="shared" si="0"/>
        <v>10.275545350172216</v>
      </c>
      <c r="J23" s="9">
        <f>RANK(E23,E8:E28,0)</f>
        <v>12</v>
      </c>
      <c r="K23" s="9">
        <f>RANK(E23,E8:E28,1)</f>
        <v>10</v>
      </c>
      <c r="L23" s="135">
        <v>16</v>
      </c>
      <c r="M23" s="9">
        <f>RANK(H23,H8:H28,0)</f>
        <v>6</v>
      </c>
      <c r="N23" s="9">
        <f>RANK(H23,H8:H28,1)</f>
        <v>16</v>
      </c>
      <c r="O23" s="135">
        <v>16</v>
      </c>
      <c r="P23" s="928" t="str">
        <f>INDEX(B8:H28,MATCH(16,J8:J28,0),1)</f>
        <v>leski</v>
      </c>
      <c r="Q23" s="9">
        <f>INDEX(B8:H28,MATCH(16,J8:J28,0),4)</f>
        <v>1466</v>
      </c>
    </row>
    <row r="24" spans="2:17" x14ac:dyDescent="0.25">
      <c r="B24" s="176" t="s">
        <v>30</v>
      </c>
      <c r="C24" s="626">
        <v>3586</v>
      </c>
      <c r="D24" s="275">
        <v>1717</v>
      </c>
      <c r="E24" s="626">
        <v>3935</v>
      </c>
      <c r="F24" s="275">
        <v>1842</v>
      </c>
      <c r="G24" s="278">
        <f t="shared" si="1"/>
        <v>349</v>
      </c>
      <c r="H24" s="266">
        <f t="shared" si="0"/>
        <v>9.7322922476296707</v>
      </c>
      <c r="J24" s="9">
        <f>RANK(E24,E8:E28,0)</f>
        <v>1</v>
      </c>
      <c r="K24" s="9">
        <f>RANK(E24,E8:E28,1)</f>
        <v>21</v>
      </c>
      <c r="L24" s="135">
        <v>17</v>
      </c>
      <c r="M24" s="9">
        <f>RANK(H24,H8:H28,0)</f>
        <v>7</v>
      </c>
      <c r="N24" s="9">
        <f>RANK(H24,H8:H28,1)</f>
        <v>15</v>
      </c>
      <c r="O24" s="135">
        <v>17</v>
      </c>
      <c r="P24" s="928" t="str">
        <f>INDEX(B8:H28,MATCH(17,J8:J28,0),1)</f>
        <v>kolbuszowski</v>
      </c>
      <c r="Q24" s="9">
        <f>INDEX(B8:H28,MATCH(17,J8:J28,0),4)</f>
        <v>1456</v>
      </c>
    </row>
    <row r="25" spans="2:17" x14ac:dyDescent="0.25">
      <c r="B25" s="176" t="s">
        <v>31</v>
      </c>
      <c r="C25" s="626">
        <v>1712</v>
      </c>
      <c r="D25" s="275">
        <v>861</v>
      </c>
      <c r="E25" s="626">
        <v>1802</v>
      </c>
      <c r="F25" s="275">
        <v>878</v>
      </c>
      <c r="G25" s="278">
        <f t="shared" si="1"/>
        <v>90</v>
      </c>
      <c r="H25" s="266">
        <f t="shared" si="0"/>
        <v>5.2570093457943923</v>
      </c>
      <c r="J25" s="9">
        <f>RANK(E25,E8:E28,0)</f>
        <v>13</v>
      </c>
      <c r="K25" s="9">
        <f>RANK(E25,E8:E28,1)</f>
        <v>9</v>
      </c>
      <c r="L25" s="135">
        <v>18</v>
      </c>
      <c r="M25" s="9">
        <f>RANK(H25,H8:H28,0)</f>
        <v>10</v>
      </c>
      <c r="N25" s="9">
        <f>RANK(H25,H8:H28,1)</f>
        <v>12</v>
      </c>
      <c r="O25" s="135">
        <v>18</v>
      </c>
      <c r="P25" s="928" t="str">
        <f>INDEX(B8:H28,MATCH(18,J8:J28,0),1)</f>
        <v>lubaczowski</v>
      </c>
      <c r="Q25" s="9">
        <f>INDEX(B8:H28,MATCH(18,J8:J28,0),4)</f>
        <v>1174</v>
      </c>
    </row>
    <row r="26" spans="2:17" x14ac:dyDescent="0.25">
      <c r="B26" s="176" t="s">
        <v>32</v>
      </c>
      <c r="C26" s="626">
        <v>824</v>
      </c>
      <c r="D26" s="275">
        <v>444</v>
      </c>
      <c r="E26" s="626">
        <v>962</v>
      </c>
      <c r="F26" s="275">
        <v>473</v>
      </c>
      <c r="G26" s="278">
        <f t="shared" si="1"/>
        <v>138</v>
      </c>
      <c r="H26" s="266">
        <f t="shared" si="0"/>
        <v>16.747572815533982</v>
      </c>
      <c r="J26" s="9">
        <f>RANK(E26,E8:E28,0)</f>
        <v>20</v>
      </c>
      <c r="K26" s="9">
        <f>RANK(E26,E8:E28,1)</f>
        <v>2</v>
      </c>
      <c r="L26" s="135">
        <v>19</v>
      </c>
      <c r="M26" s="9">
        <f>RANK(H26,H8:H28,0)</f>
        <v>2</v>
      </c>
      <c r="N26" s="9">
        <f>RANK(H26,H8:H28,1)</f>
        <v>20</v>
      </c>
      <c r="O26" s="135">
        <v>19</v>
      </c>
      <c r="P26" s="928" t="str">
        <f>INDEX(B8:H28,MATCH(19,J8:J28,0),1)</f>
        <v>tarnobrzeski</v>
      </c>
      <c r="Q26" s="9">
        <f>INDEX(B8:H28,MATCH(19,J8:J28,0),4)</f>
        <v>1161</v>
      </c>
    </row>
    <row r="27" spans="2:17" x14ac:dyDescent="0.25">
      <c r="B27" s="176" t="s">
        <v>33</v>
      </c>
      <c r="C27" s="626">
        <v>2778</v>
      </c>
      <c r="D27" s="275">
        <v>1407</v>
      </c>
      <c r="E27" s="626">
        <v>2846</v>
      </c>
      <c r="F27" s="275">
        <v>1373</v>
      </c>
      <c r="G27" s="278">
        <f t="shared" si="1"/>
        <v>68</v>
      </c>
      <c r="H27" s="266">
        <f t="shared" si="0"/>
        <v>2.4478041756659468</v>
      </c>
      <c r="J27" s="9">
        <f>RANK(E27,E8:E28,0)</f>
        <v>6</v>
      </c>
      <c r="K27" s="9">
        <f>RANK(E27,E8:E28,1)</f>
        <v>16</v>
      </c>
      <c r="L27" s="135">
        <v>20</v>
      </c>
      <c r="M27" s="9">
        <f>RANK(H27,H8:H28,0)</f>
        <v>17</v>
      </c>
      <c r="N27" s="9">
        <f>RANK(H27,H8:H28,1)</f>
        <v>5</v>
      </c>
      <c r="O27" s="135">
        <v>20</v>
      </c>
      <c r="P27" s="928" t="str">
        <f>INDEX(B8:H28,MATCH(20,J8:J28,0),1)</f>
        <v>stalowowolski</v>
      </c>
      <c r="Q27" s="9">
        <f>INDEX(B8:H28,MATCH(20,J8:J28,0),4)</f>
        <v>962</v>
      </c>
    </row>
    <row r="28" spans="2:17" ht="15.75" thickBot="1" x14ac:dyDescent="0.3">
      <c r="B28" s="177" t="s">
        <v>34</v>
      </c>
      <c r="C28" s="627">
        <v>1021</v>
      </c>
      <c r="D28" s="276">
        <v>503</v>
      </c>
      <c r="E28" s="627">
        <v>1161</v>
      </c>
      <c r="F28" s="276">
        <v>594</v>
      </c>
      <c r="G28" s="279">
        <f t="shared" si="1"/>
        <v>140</v>
      </c>
      <c r="H28" s="137">
        <f t="shared" si="0"/>
        <v>13.712047012732615</v>
      </c>
      <c r="J28" s="9">
        <f>RANK(E28,E8:E28,0)</f>
        <v>19</v>
      </c>
      <c r="K28" s="9">
        <f>RANK(E28,E8:E28,1)</f>
        <v>3</v>
      </c>
      <c r="L28" s="135">
        <v>21</v>
      </c>
      <c r="M28" s="9">
        <f>RANK(H28,H8:H28,0)</f>
        <v>4</v>
      </c>
      <c r="N28" s="9">
        <f>RANK(H28,H8:H28,1)</f>
        <v>18</v>
      </c>
      <c r="O28" s="135">
        <v>21</v>
      </c>
      <c r="P28" s="928" t="str">
        <f>INDEX(B8:H28,MATCH(21,J8:J28,0),1)</f>
        <v>bieszczadzki</v>
      </c>
      <c r="Q28" s="9">
        <f>INDEX(B8:H28,MATCH(21,J8:J28,0),4)</f>
        <v>704</v>
      </c>
    </row>
    <row r="30" spans="2:17" x14ac:dyDescent="0.25">
      <c r="C30" s="878">
        <f>SUM(C8:C28)</f>
        <v>42647</v>
      </c>
      <c r="D30" s="878">
        <f>SUM(D8:D28)</f>
        <v>21744</v>
      </c>
      <c r="E30" s="878">
        <f>SUM(E8:E28)</f>
        <v>45142</v>
      </c>
      <c r="F30" s="878">
        <f>SUM(F8:F28)</f>
        <v>22227</v>
      </c>
    </row>
  </sheetData>
  <mergeCells count="3">
    <mergeCell ref="C3:D3"/>
    <mergeCell ref="E3:F3"/>
    <mergeCell ref="B3:B4"/>
  </mergeCells>
  <printOptions horizontalCentered="1"/>
  <pageMargins left="0" right="0" top="1.0236220472440944" bottom="0.31496062992125984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  <pageSetUpPr fitToPage="1"/>
  </sheetPr>
  <dimension ref="B1:P34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1.7109375" style="11" customWidth="1"/>
    <col min="2" max="2" width="65.140625" style="11" customWidth="1"/>
    <col min="3" max="3" width="9.5703125" style="11" customWidth="1"/>
    <col min="4" max="4" width="7.85546875" style="11" customWidth="1"/>
    <col min="5" max="5" width="9.28515625" style="11" bestFit="1" customWidth="1"/>
    <col min="6" max="6" width="7.85546875" style="11" customWidth="1"/>
    <col min="7" max="7" width="9.5703125" style="11" customWidth="1"/>
    <col min="8" max="8" width="8" style="11" customWidth="1"/>
    <col min="9" max="9" width="9.28515625" style="11" bestFit="1" customWidth="1"/>
    <col min="10" max="10" width="8.7109375" style="11" customWidth="1"/>
    <col min="11" max="11" width="9.42578125" style="11" customWidth="1"/>
    <col min="12" max="12" width="7.28515625" style="11" customWidth="1"/>
    <col min="13" max="13" width="9.7109375" style="11" customWidth="1"/>
    <col min="14" max="14" width="7" style="11" customWidth="1"/>
    <col min="15" max="15" width="2.85546875" style="11" customWidth="1"/>
    <col min="16" max="16" width="8.85546875" style="136" customWidth="1"/>
    <col min="17" max="16384" width="9.140625" style="11"/>
  </cols>
  <sheetData>
    <row r="1" spans="2:16" ht="17.25" customHeight="1" x14ac:dyDescent="0.25">
      <c r="B1" s="518" t="s">
        <v>449</v>
      </c>
      <c r="O1" s="357"/>
    </row>
    <row r="2" spans="2:16" ht="16.5" customHeight="1" x14ac:dyDescent="0.25">
      <c r="B2" s="518" t="s">
        <v>457</v>
      </c>
      <c r="O2" s="479"/>
    </row>
    <row r="3" spans="2:16" ht="15.75" customHeight="1" thickBot="1" x14ac:dyDescent="0.3">
      <c r="B3" s="518" t="s">
        <v>456</v>
      </c>
      <c r="C3" s="162"/>
      <c r="D3" s="162"/>
      <c r="E3" s="162"/>
      <c r="F3" s="162"/>
      <c r="K3" s="143"/>
      <c r="L3" s="143"/>
      <c r="M3" s="143"/>
      <c r="N3" s="143"/>
      <c r="O3" s="143"/>
    </row>
    <row r="4" spans="2:16" x14ac:dyDescent="0.25">
      <c r="B4" s="1062" t="s">
        <v>95</v>
      </c>
      <c r="C4" s="1051" t="s">
        <v>478</v>
      </c>
      <c r="D4" s="1052"/>
      <c r="E4" s="1052"/>
      <c r="F4" s="1053"/>
      <c r="G4" s="1058" t="s">
        <v>508</v>
      </c>
      <c r="H4" s="1059"/>
      <c r="I4" s="1059"/>
      <c r="J4" s="1060"/>
      <c r="K4" s="1061" t="s">
        <v>101</v>
      </c>
      <c r="L4" s="1052"/>
      <c r="M4" s="1052"/>
      <c r="N4" s="1053"/>
      <c r="O4" s="334"/>
    </row>
    <row r="5" spans="2:16" x14ac:dyDescent="0.25">
      <c r="B5" s="1063"/>
      <c r="C5" s="1048" t="s">
        <v>426</v>
      </c>
      <c r="D5" s="1049"/>
      <c r="E5" s="1049"/>
      <c r="F5" s="1049"/>
      <c r="G5" s="1049"/>
      <c r="H5" s="1049"/>
      <c r="I5" s="1049"/>
      <c r="J5" s="1049"/>
      <c r="K5" s="1049"/>
      <c r="L5" s="1049"/>
      <c r="M5" s="1049"/>
      <c r="N5" s="1050"/>
      <c r="O5" s="334"/>
    </row>
    <row r="6" spans="2:16" ht="15.75" customHeight="1" x14ac:dyDescent="0.25">
      <c r="B6" s="1063"/>
      <c r="C6" s="1054" t="s">
        <v>4</v>
      </c>
      <c r="D6" s="1055"/>
      <c r="E6" s="1056" t="s">
        <v>92</v>
      </c>
      <c r="F6" s="1057"/>
      <c r="G6" s="1066" t="s">
        <v>4</v>
      </c>
      <c r="H6" s="1067"/>
      <c r="I6" s="1068" t="s">
        <v>92</v>
      </c>
      <c r="J6" s="1069"/>
      <c r="K6" s="1065" t="s">
        <v>4</v>
      </c>
      <c r="L6" s="1055"/>
      <c r="M6" s="1056" t="s">
        <v>92</v>
      </c>
      <c r="N6" s="1057"/>
      <c r="O6" s="369"/>
    </row>
    <row r="7" spans="2:16" ht="15.75" customHeight="1" thickBot="1" x14ac:dyDescent="0.3">
      <c r="B7" s="1064"/>
      <c r="C7" s="629" t="s">
        <v>99</v>
      </c>
      <c r="D7" s="628" t="s">
        <v>347</v>
      </c>
      <c r="E7" s="630" t="s">
        <v>99</v>
      </c>
      <c r="F7" s="628" t="s">
        <v>347</v>
      </c>
      <c r="G7" s="635" t="s">
        <v>99</v>
      </c>
      <c r="H7" s="634" t="s">
        <v>347</v>
      </c>
      <c r="I7" s="632" t="s">
        <v>99</v>
      </c>
      <c r="J7" s="633" t="s">
        <v>347</v>
      </c>
      <c r="K7" s="630" t="s">
        <v>99</v>
      </c>
      <c r="L7" s="628" t="s">
        <v>347</v>
      </c>
      <c r="M7" s="630" t="s">
        <v>99</v>
      </c>
      <c r="N7" s="631" t="s">
        <v>347</v>
      </c>
      <c r="O7" s="370"/>
    </row>
    <row r="8" spans="2:16" ht="18.75" x14ac:dyDescent="0.3">
      <c r="B8" s="245" t="s">
        <v>98</v>
      </c>
      <c r="C8" s="246">
        <v>67336</v>
      </c>
      <c r="D8" s="96">
        <v>100</v>
      </c>
      <c r="E8" s="46">
        <v>33994</v>
      </c>
      <c r="F8" s="97">
        <v>100</v>
      </c>
      <c r="G8" s="246">
        <v>72059</v>
      </c>
      <c r="H8" s="96">
        <v>100</v>
      </c>
      <c r="I8" s="46">
        <v>35372</v>
      </c>
      <c r="J8" s="97">
        <v>100</v>
      </c>
      <c r="K8" s="247">
        <f>G8-C8</f>
        <v>4723</v>
      </c>
      <c r="L8" s="248">
        <f>K8/C8*100</f>
        <v>7.0140786503504815</v>
      </c>
      <c r="M8" s="249">
        <f>I8-E8</f>
        <v>1378</v>
      </c>
      <c r="N8" s="250">
        <f>M8/E8*100</f>
        <v>4.0536565276225209</v>
      </c>
      <c r="O8" s="367"/>
    </row>
    <row r="9" spans="2:16" ht="16.5" customHeight="1" thickBot="1" x14ac:dyDescent="0.3">
      <c r="B9" s="636" t="s">
        <v>48</v>
      </c>
      <c r="C9" s="637"/>
      <c r="D9" s="638"/>
      <c r="E9" s="637"/>
      <c r="F9" s="638"/>
      <c r="G9" s="637"/>
      <c r="H9" s="638"/>
      <c r="I9" s="637"/>
      <c r="J9" s="642"/>
      <c r="K9" s="639"/>
      <c r="L9" s="640"/>
      <c r="M9" s="639"/>
      <c r="N9" s="641"/>
      <c r="O9" s="371"/>
    </row>
    <row r="10" spans="2:16" x14ac:dyDescent="0.25">
      <c r="B10" s="232" t="s">
        <v>215</v>
      </c>
      <c r="C10" s="233">
        <v>17915</v>
      </c>
      <c r="D10" s="236">
        <f>SUM(C10*100/C8)</f>
        <v>26.605381965070691</v>
      </c>
      <c r="E10" s="235">
        <v>9327</v>
      </c>
      <c r="F10" s="238">
        <f>SUM(E10*100/E8)</f>
        <v>27.437194799082192</v>
      </c>
      <c r="G10" s="233">
        <v>19372</v>
      </c>
      <c r="H10" s="241">
        <f>SUM(G10*100/G8)</f>
        <v>26.883525999528164</v>
      </c>
      <c r="I10" s="235">
        <v>9718</v>
      </c>
      <c r="J10" s="243">
        <f>SUM(I10*100/I8)</f>
        <v>27.473708017641073</v>
      </c>
      <c r="K10" s="403">
        <f>G10-C10</f>
        <v>1457</v>
      </c>
      <c r="L10" s="241">
        <f>K10/C10*100</f>
        <v>8.1328495674016192</v>
      </c>
      <c r="M10" s="234">
        <f t="shared" ref="M10:M17" si="0">I10-E10</f>
        <v>391</v>
      </c>
      <c r="N10" s="243">
        <f t="shared" ref="N10:N17" si="1">M10/E10*100</f>
        <v>4.1921303741824811</v>
      </c>
      <c r="O10" s="368"/>
      <c r="P10" s="342">
        <f>SUM(H10-D10)</f>
        <v>0.2781440344574726</v>
      </c>
    </row>
    <row r="11" spans="2:16" x14ac:dyDescent="0.25">
      <c r="B11" s="163" t="s">
        <v>214</v>
      </c>
      <c r="C11" s="149">
        <v>9732</v>
      </c>
      <c r="D11" s="145">
        <f>SUM(C11*100/C8)</f>
        <v>14.452892954734466</v>
      </c>
      <c r="E11" s="150">
        <v>4662</v>
      </c>
      <c r="F11" s="146">
        <f>SUM(E11*100/E8)</f>
        <v>13.714184856151086</v>
      </c>
      <c r="G11" s="149">
        <v>10753</v>
      </c>
      <c r="H11" s="145">
        <f>SUM(G11*100/G8)</f>
        <v>14.922494067361468</v>
      </c>
      <c r="I11" s="150">
        <v>4997</v>
      </c>
      <c r="J11" s="406">
        <f>SUM(I11*100/I8)</f>
        <v>14.1269931018885</v>
      </c>
      <c r="K11" s="404">
        <f t="shared" ref="K11:K17" si="2">G11-C11</f>
        <v>1021</v>
      </c>
      <c r="L11" s="183">
        <f>K11/C11*100</f>
        <v>10.491163173037403</v>
      </c>
      <c r="M11" s="107">
        <f t="shared" si="0"/>
        <v>335</v>
      </c>
      <c r="N11" s="105">
        <f t="shared" si="1"/>
        <v>7.1857571857571854</v>
      </c>
      <c r="O11" s="361"/>
    </row>
    <row r="12" spans="2:16" x14ac:dyDescent="0.25">
      <c r="B12" s="148" t="s">
        <v>216</v>
      </c>
      <c r="C12" s="149">
        <v>37056</v>
      </c>
      <c r="D12" s="145">
        <f>SUM(C12*100/C8)</f>
        <v>55.031483901627659</v>
      </c>
      <c r="E12" s="150">
        <v>19953</v>
      </c>
      <c r="F12" s="146">
        <f>SUM(E12*100/E8)</f>
        <v>58.695652173913047</v>
      </c>
      <c r="G12" s="149">
        <v>39558</v>
      </c>
      <c r="H12" s="145">
        <f>SUM(G12*100/G8)</f>
        <v>54.896681885677012</v>
      </c>
      <c r="I12" s="150">
        <v>20467</v>
      </c>
      <c r="J12" s="406">
        <f>SUM(I12*100/I8)</f>
        <v>57.862150853782651</v>
      </c>
      <c r="K12" s="404">
        <f>G12-C12</f>
        <v>2502</v>
      </c>
      <c r="L12" s="183">
        <f>K12/C12*100</f>
        <v>6.7519430051813476</v>
      </c>
      <c r="M12" s="107">
        <f>I12-E12</f>
        <v>514</v>
      </c>
      <c r="N12" s="105">
        <f>M12/E12*100</f>
        <v>2.5760537262567036</v>
      </c>
      <c r="O12" s="361"/>
      <c r="P12" s="342">
        <f>SUM(D12-H12)</f>
        <v>0.13480201595064756</v>
      </c>
    </row>
    <row r="13" spans="2:16" x14ac:dyDescent="0.25">
      <c r="B13" s="148" t="s">
        <v>217</v>
      </c>
      <c r="C13" s="149">
        <v>16634</v>
      </c>
      <c r="D13" s="145">
        <f>SUM(C13*100/C8)</f>
        <v>24.70298206011643</v>
      </c>
      <c r="E13" s="150">
        <v>6159</v>
      </c>
      <c r="F13" s="146">
        <f>SUM(E13*100/E8)</f>
        <v>18.117903159381068</v>
      </c>
      <c r="G13" s="149">
        <v>17613</v>
      </c>
      <c r="H13" s="145">
        <f>SUM(G13*100/G8)</f>
        <v>24.442470753132849</v>
      </c>
      <c r="I13" s="150">
        <v>6524</v>
      </c>
      <c r="J13" s="406">
        <f>SUM(I13*100/I8)</f>
        <v>18.443966979531833</v>
      </c>
      <c r="K13" s="404">
        <f>G13-C13</f>
        <v>979</v>
      </c>
      <c r="L13" s="183">
        <f>K13/C13*100</f>
        <v>5.885535649873753</v>
      </c>
      <c r="M13" s="107">
        <f t="shared" si="0"/>
        <v>365</v>
      </c>
      <c r="N13" s="105">
        <f t="shared" si="1"/>
        <v>5.9262867348595556</v>
      </c>
      <c r="O13" s="361"/>
      <c r="P13" s="342">
        <f>SUM(D13-H13)</f>
        <v>0.26051130698358094</v>
      </c>
    </row>
    <row r="14" spans="2:16" x14ac:dyDescent="0.25">
      <c r="B14" s="148" t="s">
        <v>218</v>
      </c>
      <c r="C14" s="149">
        <v>831</v>
      </c>
      <c r="D14" s="145">
        <f>SUM(C14*100/C8)</f>
        <v>1.234109540216229</v>
      </c>
      <c r="E14" s="150">
        <v>410</v>
      </c>
      <c r="F14" s="146">
        <f>SUM(E14*100/E8)</f>
        <v>1.2060951932694004</v>
      </c>
      <c r="G14" s="149">
        <v>866</v>
      </c>
      <c r="H14" s="242">
        <f>SUM(G14*100/G8)</f>
        <v>1.2017929752008771</v>
      </c>
      <c r="I14" s="150">
        <v>404</v>
      </c>
      <c r="J14" s="244">
        <f>SUM(I14*100/I8)</f>
        <v>1.1421463304308492</v>
      </c>
      <c r="K14" s="405">
        <f t="shared" si="2"/>
        <v>35</v>
      </c>
      <c r="L14" s="242">
        <f t="shared" ref="L14:L17" si="3">K14/C14*100</f>
        <v>4.2117930204572804</v>
      </c>
      <c r="M14" s="144">
        <f t="shared" si="0"/>
        <v>-6</v>
      </c>
      <c r="N14" s="244">
        <f t="shared" si="1"/>
        <v>-1.4634146341463417</v>
      </c>
      <c r="O14" s="368"/>
    </row>
    <row r="15" spans="2:16" ht="15.75" customHeight="1" x14ac:dyDescent="0.25">
      <c r="B15" s="148" t="s">
        <v>219</v>
      </c>
      <c r="C15" s="149">
        <v>10262</v>
      </c>
      <c r="D15" s="145">
        <f>SUM(C15*100/C8)</f>
        <v>15.239990495425923</v>
      </c>
      <c r="E15" s="150">
        <v>8532</v>
      </c>
      <c r="F15" s="146">
        <f>SUM(E15*100/E8)</f>
        <v>25.098546802376891</v>
      </c>
      <c r="G15" s="149">
        <v>10283</v>
      </c>
      <c r="H15" s="242">
        <f>SUM(G15*100/G8)</f>
        <v>14.270250766732817</v>
      </c>
      <c r="I15" s="150">
        <v>8295</v>
      </c>
      <c r="J15" s="244">
        <f>SUM(I15*100/I8)</f>
        <v>23.450752007237362</v>
      </c>
      <c r="K15" s="405">
        <f t="shared" si="2"/>
        <v>21</v>
      </c>
      <c r="L15" s="242">
        <f t="shared" si="3"/>
        <v>0.20463847203274216</v>
      </c>
      <c r="M15" s="144">
        <f t="shared" si="0"/>
        <v>-237</v>
      </c>
      <c r="N15" s="244">
        <f t="shared" si="1"/>
        <v>-2.7777777777777777</v>
      </c>
      <c r="O15" s="368"/>
    </row>
    <row r="16" spans="2:16" ht="14.25" customHeight="1" x14ac:dyDescent="0.25">
      <c r="B16" s="148" t="s">
        <v>220</v>
      </c>
      <c r="C16" s="149">
        <v>136</v>
      </c>
      <c r="D16" s="145">
        <f>SUM(C16*100/C8)</f>
        <v>0.2019721991208269</v>
      </c>
      <c r="E16" s="150">
        <v>88</v>
      </c>
      <c r="F16" s="146">
        <f>SUM(E16*100/E8)</f>
        <v>0.25886921221392012</v>
      </c>
      <c r="G16" s="149">
        <v>194</v>
      </c>
      <c r="H16" s="242">
        <f>SUM(G16*100/G8)</f>
        <v>0.2692238304722519</v>
      </c>
      <c r="I16" s="150">
        <v>135</v>
      </c>
      <c r="J16" s="244">
        <f>SUM(I16*100/I8)</f>
        <v>0.38165780843605113</v>
      </c>
      <c r="K16" s="405">
        <f t="shared" si="2"/>
        <v>58</v>
      </c>
      <c r="L16" s="242">
        <f t="shared" si="3"/>
        <v>42.647058823529413</v>
      </c>
      <c r="M16" s="144">
        <f t="shared" si="0"/>
        <v>47</v>
      </c>
      <c r="N16" s="244">
        <f t="shared" si="1"/>
        <v>53.409090909090907</v>
      </c>
      <c r="O16" s="368"/>
    </row>
    <row r="17" spans="2:16" ht="15.75" thickBot="1" x14ac:dyDescent="0.3">
      <c r="B17" s="154" t="s">
        <v>221</v>
      </c>
      <c r="C17" s="155">
        <v>3700</v>
      </c>
      <c r="D17" s="156">
        <f>SUM(C17*100/C8)</f>
        <v>5.4948318878460256</v>
      </c>
      <c r="E17" s="157">
        <v>1638</v>
      </c>
      <c r="F17" s="240">
        <f>SUM(E17*100/E8)</f>
        <v>4.8184973818909222</v>
      </c>
      <c r="G17" s="155">
        <v>3943</v>
      </c>
      <c r="H17" s="156">
        <f>SUM(G17*100/G8)</f>
        <v>5.471904966763347</v>
      </c>
      <c r="I17" s="157">
        <v>1783</v>
      </c>
      <c r="J17" s="407">
        <f>SUM(I17*100/I8)</f>
        <v>5.040710166233179</v>
      </c>
      <c r="K17" s="109">
        <f t="shared" si="2"/>
        <v>243</v>
      </c>
      <c r="L17" s="185">
        <f t="shared" si="3"/>
        <v>6.5675675675675667</v>
      </c>
      <c r="M17" s="110">
        <f t="shared" si="0"/>
        <v>145</v>
      </c>
      <c r="N17" s="111">
        <f t="shared" si="1"/>
        <v>8.8522588522588528</v>
      </c>
      <c r="O17" s="361"/>
    </row>
    <row r="18" spans="2:16" x14ac:dyDescent="0.25">
      <c r="B18" s="518" t="s">
        <v>459</v>
      </c>
      <c r="C18" s="159"/>
      <c r="D18" s="160"/>
      <c r="E18" s="159"/>
      <c r="F18" s="160"/>
      <c r="G18" s="159"/>
      <c r="H18" s="160"/>
      <c r="I18" s="159"/>
      <c r="J18" s="160"/>
      <c r="K18" s="519"/>
      <c r="L18" s="361"/>
      <c r="M18" s="519"/>
      <c r="N18" s="361"/>
      <c r="O18" s="361"/>
    </row>
    <row r="19" spans="2:16" x14ac:dyDescent="0.25">
      <c r="B19" s="518" t="s">
        <v>457</v>
      </c>
      <c r="C19" s="159"/>
      <c r="D19" s="160"/>
      <c r="E19" s="159"/>
      <c r="F19" s="160"/>
      <c r="G19" s="159"/>
      <c r="H19" s="160"/>
      <c r="I19" s="159"/>
      <c r="J19" s="160"/>
      <c r="K19" s="519"/>
      <c r="L19" s="361"/>
      <c r="M19" s="519"/>
      <c r="N19" s="361"/>
      <c r="O19" s="361"/>
    </row>
    <row r="20" spans="2:16" ht="14.25" customHeight="1" thickBot="1" x14ac:dyDescent="0.3">
      <c r="B20" s="520" t="s">
        <v>458</v>
      </c>
      <c r="C20" s="159"/>
      <c r="D20" s="160"/>
      <c r="E20" s="159"/>
      <c r="F20" s="160"/>
      <c r="G20" s="159"/>
      <c r="H20" s="161"/>
      <c r="I20" s="159"/>
      <c r="J20" s="161"/>
      <c r="K20" s="161"/>
      <c r="L20" s="161"/>
      <c r="M20" s="161"/>
      <c r="N20" s="161"/>
      <c r="O20" s="161"/>
    </row>
    <row r="21" spans="2:16" ht="17.25" customHeight="1" x14ac:dyDescent="0.25">
      <c r="B21" s="1062" t="s">
        <v>95</v>
      </c>
      <c r="C21" s="1051" t="s">
        <v>417</v>
      </c>
      <c r="D21" s="1052"/>
      <c r="E21" s="1052"/>
      <c r="F21" s="1053"/>
      <c r="G21" s="1058" t="s">
        <v>479</v>
      </c>
      <c r="H21" s="1059"/>
      <c r="I21" s="1059"/>
      <c r="J21" s="1060"/>
      <c r="K21" s="1061" t="s">
        <v>101</v>
      </c>
      <c r="L21" s="1052"/>
      <c r="M21" s="1052"/>
      <c r="N21" s="1053"/>
      <c r="O21" s="334"/>
    </row>
    <row r="22" spans="2:16" ht="17.25" customHeight="1" x14ac:dyDescent="0.25">
      <c r="B22" s="1063"/>
      <c r="C22" s="1048" t="s">
        <v>535</v>
      </c>
      <c r="D22" s="1049"/>
      <c r="E22" s="1049"/>
      <c r="F22" s="1049"/>
      <c r="G22" s="1049"/>
      <c r="H22" s="1049"/>
      <c r="I22" s="1049"/>
      <c r="J22" s="1049"/>
      <c r="K22" s="1049"/>
      <c r="L22" s="1049"/>
      <c r="M22" s="1049"/>
      <c r="N22" s="1050"/>
      <c r="O22" s="334"/>
    </row>
    <row r="23" spans="2:16" x14ac:dyDescent="0.25">
      <c r="B23" s="1063"/>
      <c r="C23" s="1054" t="s">
        <v>4</v>
      </c>
      <c r="D23" s="1055"/>
      <c r="E23" s="1056" t="s">
        <v>92</v>
      </c>
      <c r="F23" s="1057"/>
      <c r="G23" s="1066" t="s">
        <v>4</v>
      </c>
      <c r="H23" s="1067"/>
      <c r="I23" s="1068" t="s">
        <v>92</v>
      </c>
      <c r="J23" s="1069"/>
      <c r="K23" s="1065" t="s">
        <v>4</v>
      </c>
      <c r="L23" s="1055"/>
      <c r="M23" s="1056" t="s">
        <v>92</v>
      </c>
      <c r="N23" s="1057"/>
      <c r="O23" s="369"/>
    </row>
    <row r="24" spans="2:16" ht="15.75" thickBot="1" x14ac:dyDescent="0.3">
      <c r="B24" s="1064"/>
      <c r="C24" s="629" t="s">
        <v>99</v>
      </c>
      <c r="D24" s="628" t="s">
        <v>347</v>
      </c>
      <c r="E24" s="630" t="s">
        <v>99</v>
      </c>
      <c r="F24" s="628" t="s">
        <v>347</v>
      </c>
      <c r="G24" s="635" t="s">
        <v>99</v>
      </c>
      <c r="H24" s="634" t="s">
        <v>347</v>
      </c>
      <c r="I24" s="632" t="s">
        <v>99</v>
      </c>
      <c r="J24" s="633" t="s">
        <v>347</v>
      </c>
      <c r="K24" s="630" t="s">
        <v>99</v>
      </c>
      <c r="L24" s="628" t="s">
        <v>347</v>
      </c>
      <c r="M24" s="630" t="s">
        <v>99</v>
      </c>
      <c r="N24" s="631" t="s">
        <v>347</v>
      </c>
      <c r="O24" s="370"/>
    </row>
    <row r="25" spans="2:16" ht="18.75" x14ac:dyDescent="0.3">
      <c r="B25" s="245" t="s">
        <v>98</v>
      </c>
      <c r="C25" s="246">
        <v>63814</v>
      </c>
      <c r="D25" s="96">
        <v>100</v>
      </c>
      <c r="E25" s="46">
        <v>32664</v>
      </c>
      <c r="F25" s="97">
        <v>100</v>
      </c>
      <c r="G25" s="246">
        <v>65487</v>
      </c>
      <c r="H25" s="96">
        <v>100</v>
      </c>
      <c r="I25" s="46">
        <v>32695</v>
      </c>
      <c r="J25" s="97">
        <v>100</v>
      </c>
      <c r="K25" s="247">
        <f>G25-C25</f>
        <v>1673</v>
      </c>
      <c r="L25" s="248">
        <f>K25/C25*100</f>
        <v>2.6216817626226221</v>
      </c>
      <c r="M25" s="249">
        <f>I25-E25</f>
        <v>31</v>
      </c>
      <c r="N25" s="250">
        <f>M25/E25*100</f>
        <v>9.4905706588292921E-2</v>
      </c>
      <c r="O25" s="367"/>
    </row>
    <row r="26" spans="2:16" ht="15.75" thickBot="1" x14ac:dyDescent="0.3">
      <c r="B26" s="636" t="s">
        <v>48</v>
      </c>
      <c r="C26" s="637"/>
      <c r="D26" s="638"/>
      <c r="E26" s="637"/>
      <c r="F26" s="638"/>
      <c r="G26" s="637"/>
      <c r="H26" s="638"/>
      <c r="I26" s="637"/>
      <c r="J26" s="638"/>
      <c r="K26" s="639"/>
      <c r="L26" s="640"/>
      <c r="M26" s="639"/>
      <c r="N26" s="641"/>
      <c r="O26" s="371"/>
    </row>
    <row r="27" spans="2:16" x14ac:dyDescent="0.25">
      <c r="B27" s="232" t="s">
        <v>215</v>
      </c>
      <c r="C27" s="233">
        <v>16095</v>
      </c>
      <c r="D27" s="236">
        <f>SUM(C27*100/C25)</f>
        <v>25.221738176575673</v>
      </c>
      <c r="E27" s="237">
        <v>8533</v>
      </c>
      <c r="F27" s="238">
        <f>SUM(E27*100/E25)</f>
        <v>26.123561107029147</v>
      </c>
      <c r="G27" s="233">
        <v>16656</v>
      </c>
      <c r="H27" s="241">
        <f>SUM(G27*100/G25)</f>
        <v>25.434055614091346</v>
      </c>
      <c r="I27" s="235">
        <v>8561</v>
      </c>
      <c r="J27" s="241">
        <f>SUM(I27*100/I25)</f>
        <v>26.184431870316562</v>
      </c>
      <c r="K27" s="239">
        <f>G27-C27</f>
        <v>561</v>
      </c>
      <c r="L27" s="241">
        <f>K27/C27*100</f>
        <v>3.4855545200372791</v>
      </c>
      <c r="M27" s="234">
        <f t="shared" ref="M27:M34" si="4">I27-E27</f>
        <v>28</v>
      </c>
      <c r="N27" s="243">
        <f t="shared" ref="N27:N34" si="5">M27/E27*100</f>
        <v>0.3281378178835111</v>
      </c>
      <c r="O27" s="368"/>
    </row>
    <row r="28" spans="2:16" x14ac:dyDescent="0.25">
      <c r="B28" s="163" t="s">
        <v>214</v>
      </c>
      <c r="C28" s="149">
        <v>8392</v>
      </c>
      <c r="D28" s="145">
        <f>SUM(C28*100/C25)</f>
        <v>13.1507192779014</v>
      </c>
      <c r="E28" s="151">
        <v>4096</v>
      </c>
      <c r="F28" s="146">
        <f>SUM(E28*100/E25)</f>
        <v>12.539799167278961</v>
      </c>
      <c r="G28" s="149">
        <v>8737</v>
      </c>
      <c r="H28" s="145">
        <f>SUM(G28*100/G25)</f>
        <v>13.341579244735597</v>
      </c>
      <c r="I28" s="150">
        <v>4100</v>
      </c>
      <c r="J28" s="145">
        <f>SUM(I28*100/I25)</f>
        <v>12.540143752867412</v>
      </c>
      <c r="K28" s="106">
        <f t="shared" ref="K28:K34" si="6">G28-C28</f>
        <v>345</v>
      </c>
      <c r="L28" s="183">
        <f>K28/C28*100</f>
        <v>4.1110581506196375</v>
      </c>
      <c r="M28" s="107">
        <f t="shared" si="4"/>
        <v>4</v>
      </c>
      <c r="N28" s="105">
        <f t="shared" si="5"/>
        <v>9.765625E-2</v>
      </c>
      <c r="O28" s="361"/>
    </row>
    <row r="29" spans="2:16" x14ac:dyDescent="0.25">
      <c r="B29" s="148" t="s">
        <v>216</v>
      </c>
      <c r="C29" s="149">
        <v>35900</v>
      </c>
      <c r="D29" s="145">
        <f>SUM(C29*100/C25)</f>
        <v>56.257247625912811</v>
      </c>
      <c r="E29" s="151">
        <v>19610</v>
      </c>
      <c r="F29" s="146">
        <f>SUM(E29*100/E25)</f>
        <v>60.035513103110461</v>
      </c>
      <c r="G29" s="149">
        <v>36561</v>
      </c>
      <c r="H29" s="145">
        <f>SUM(G29*100/G25)</f>
        <v>55.829401255210961</v>
      </c>
      <c r="I29" s="150">
        <v>19438</v>
      </c>
      <c r="J29" s="145">
        <f>SUM(I29*100/I25)</f>
        <v>59.45251567517969</v>
      </c>
      <c r="K29" s="106">
        <f>G29-C29</f>
        <v>661</v>
      </c>
      <c r="L29" s="183">
        <f>K29/C29*100</f>
        <v>1.8412256267409473</v>
      </c>
      <c r="M29" s="107">
        <f>I29-E29</f>
        <v>-172</v>
      </c>
      <c r="N29" s="105">
        <f>M29/E29*100</f>
        <v>-0.87710351861295255</v>
      </c>
      <c r="O29" s="361"/>
      <c r="P29" s="850">
        <f>SUM(H29-D29)</f>
        <v>-0.42784637070185028</v>
      </c>
    </row>
    <row r="30" spans="2:16" x14ac:dyDescent="0.25">
      <c r="B30" s="148" t="s">
        <v>217</v>
      </c>
      <c r="C30" s="149">
        <v>15721</v>
      </c>
      <c r="D30" s="145">
        <f>SUM(C30*100/C25)</f>
        <v>24.635659886545273</v>
      </c>
      <c r="E30" s="151">
        <v>5812</v>
      </c>
      <c r="F30" s="146">
        <f>SUM(E30*100/E25)</f>
        <v>17.793289248101885</v>
      </c>
      <c r="G30" s="149">
        <v>16375</v>
      </c>
      <c r="H30" s="145">
        <f>SUM(G30*100/G25)</f>
        <v>25.004962817047659</v>
      </c>
      <c r="I30" s="150">
        <v>6042</v>
      </c>
      <c r="J30" s="145">
        <f>SUM(I30*100/I25)</f>
        <v>18.479889891420708</v>
      </c>
      <c r="K30" s="106">
        <f>G30-C30</f>
        <v>654</v>
      </c>
      <c r="L30" s="183">
        <f>K30/C30*100</f>
        <v>4.1600407098785066</v>
      </c>
      <c r="M30" s="107">
        <f>I30-E30</f>
        <v>230</v>
      </c>
      <c r="N30" s="105">
        <f>M30/E30*100</f>
        <v>3.9573296627666901</v>
      </c>
      <c r="O30" s="361"/>
      <c r="P30" s="850">
        <f>SUM(H27-D27)</f>
        <v>0.21231743751567222</v>
      </c>
    </row>
    <row r="31" spans="2:16" x14ac:dyDescent="0.25">
      <c r="B31" s="148" t="s">
        <v>218</v>
      </c>
      <c r="C31" s="152">
        <v>787</v>
      </c>
      <c r="D31" s="145">
        <f>SUM(C31*100/C25)</f>
        <v>1.233271695866111</v>
      </c>
      <c r="E31" s="153">
        <v>415</v>
      </c>
      <c r="F31" s="146">
        <f>SUM(E31*100/E25)</f>
        <v>1.2705118785206955</v>
      </c>
      <c r="G31" s="149">
        <v>766</v>
      </c>
      <c r="H31" s="242">
        <f>SUM(G31*100/G25)</f>
        <v>1.1696978026173133</v>
      </c>
      <c r="I31" s="150">
        <v>396</v>
      </c>
      <c r="J31" s="242">
        <f>SUM(I31*100/I25)</f>
        <v>1.2111943722281695</v>
      </c>
      <c r="K31" s="147">
        <f t="shared" si="6"/>
        <v>-21</v>
      </c>
      <c r="L31" s="879">
        <f t="shared" ref="L31:L34" si="7">K31/C31*100</f>
        <v>-2.6683608640406606</v>
      </c>
      <c r="M31" s="144">
        <f t="shared" si="4"/>
        <v>-19</v>
      </c>
      <c r="N31" s="244">
        <f t="shared" si="5"/>
        <v>-4.5783132530120483</v>
      </c>
      <c r="O31" s="368"/>
      <c r="P31" s="850">
        <f>SUM(H30-D30)</f>
        <v>0.36930293050238561</v>
      </c>
    </row>
    <row r="32" spans="2:16" x14ac:dyDescent="0.25">
      <c r="B32" s="148" t="s">
        <v>219</v>
      </c>
      <c r="C32" s="149">
        <v>10798</v>
      </c>
      <c r="D32" s="145">
        <f>SUM(C32*100/C25)</f>
        <v>16.921051806813551</v>
      </c>
      <c r="E32" s="151">
        <v>8981</v>
      </c>
      <c r="F32" s="146">
        <f>SUM(E32*100/E25)</f>
        <v>27.495101640950281</v>
      </c>
      <c r="G32" s="149">
        <v>10000</v>
      </c>
      <c r="H32" s="242">
        <f>SUM(G32*100/G25)</f>
        <v>15.27020630048712</v>
      </c>
      <c r="I32" s="150">
        <v>8284</v>
      </c>
      <c r="J32" s="242">
        <f>SUM(I32*100/I25)</f>
        <v>25.337207524086253</v>
      </c>
      <c r="K32" s="147">
        <f t="shared" si="6"/>
        <v>-798</v>
      </c>
      <c r="L32" s="242">
        <f t="shared" si="7"/>
        <v>-7.3902574550842743</v>
      </c>
      <c r="M32" s="144">
        <f t="shared" si="4"/>
        <v>-697</v>
      </c>
      <c r="N32" s="244">
        <f t="shared" si="5"/>
        <v>-7.7608284155439256</v>
      </c>
      <c r="O32" s="368"/>
    </row>
    <row r="33" spans="2:15" ht="17.25" customHeight="1" x14ac:dyDescent="0.25">
      <c r="B33" s="148" t="s">
        <v>220</v>
      </c>
      <c r="C33" s="149">
        <v>131</v>
      </c>
      <c r="D33" s="145">
        <f>SUM(C33*100/C25)</f>
        <v>0.20528410693578211</v>
      </c>
      <c r="E33" s="151">
        <v>84</v>
      </c>
      <c r="F33" s="146">
        <f>SUM(E33*100/E25)</f>
        <v>0.25716385011021309</v>
      </c>
      <c r="G33" s="149">
        <v>178</v>
      </c>
      <c r="H33" s="242">
        <f>SUM(G33*100/G25)</f>
        <v>0.27180967214867074</v>
      </c>
      <c r="I33" s="150">
        <v>118</v>
      </c>
      <c r="J33" s="242">
        <f>SUM(I33*100/I25)</f>
        <v>0.36091145435081817</v>
      </c>
      <c r="K33" s="147">
        <f t="shared" si="6"/>
        <v>47</v>
      </c>
      <c r="L33" s="242">
        <f t="shared" si="7"/>
        <v>35.877862595419849</v>
      </c>
      <c r="M33" s="144">
        <f t="shared" si="4"/>
        <v>34</v>
      </c>
      <c r="N33" s="244">
        <f t="shared" si="5"/>
        <v>40.476190476190474</v>
      </c>
      <c r="O33" s="368"/>
    </row>
    <row r="34" spans="2:15" ht="15.75" thickBot="1" x14ac:dyDescent="0.3">
      <c r="B34" s="154" t="s">
        <v>221</v>
      </c>
      <c r="C34" s="155">
        <v>4659</v>
      </c>
      <c r="D34" s="156">
        <f>SUM(C34*100/C25)</f>
        <v>7.3009057573573193</v>
      </c>
      <c r="E34" s="158">
        <v>2045</v>
      </c>
      <c r="F34" s="240">
        <f>SUM(E34*100/E25)</f>
        <v>6.2607151604212588</v>
      </c>
      <c r="G34" s="155">
        <v>3837</v>
      </c>
      <c r="H34" s="156">
        <f>SUM(G34*100/G25)</f>
        <v>5.859178157496908</v>
      </c>
      <c r="I34" s="157">
        <v>1742</v>
      </c>
      <c r="J34" s="156">
        <f>SUM(I34*100/I25)</f>
        <v>5.3280318091451289</v>
      </c>
      <c r="K34" s="108">
        <f t="shared" si="6"/>
        <v>-822</v>
      </c>
      <c r="L34" s="185">
        <f t="shared" si="7"/>
        <v>-17.643271088216355</v>
      </c>
      <c r="M34" s="110">
        <f t="shared" si="4"/>
        <v>-303</v>
      </c>
      <c r="N34" s="111">
        <f t="shared" si="5"/>
        <v>-14.816625916870416</v>
      </c>
      <c r="O34" s="361"/>
    </row>
  </sheetData>
  <mergeCells count="22">
    <mergeCell ref="B21:B24"/>
    <mergeCell ref="K6:L6"/>
    <mergeCell ref="M6:N6"/>
    <mergeCell ref="B4:B7"/>
    <mergeCell ref="G4:J4"/>
    <mergeCell ref="C4:F4"/>
    <mergeCell ref="K4:N4"/>
    <mergeCell ref="G6:H6"/>
    <mergeCell ref="I6:J6"/>
    <mergeCell ref="C6:D6"/>
    <mergeCell ref="E6:F6"/>
    <mergeCell ref="G23:H23"/>
    <mergeCell ref="I23:J23"/>
    <mergeCell ref="K23:L23"/>
    <mergeCell ref="M23:N23"/>
    <mergeCell ref="C5:N5"/>
    <mergeCell ref="C22:N22"/>
    <mergeCell ref="C21:F21"/>
    <mergeCell ref="C23:D23"/>
    <mergeCell ref="E23:F23"/>
    <mergeCell ref="G21:J21"/>
    <mergeCell ref="K21:N21"/>
  </mergeCells>
  <pageMargins left="0.70866141732283472" right="0.70866141732283472" top="1.3779527559055118" bottom="0" header="0.31496062992125984" footer="0.31496062992125984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  <pageSetUpPr fitToPage="1"/>
  </sheetPr>
  <dimension ref="B1:AC35"/>
  <sheetViews>
    <sheetView zoomScale="90" zoomScaleNormal="90" zoomScaleSheetLayoutView="100" workbookViewId="0">
      <selection activeCell="B1" sqref="B1"/>
    </sheetView>
  </sheetViews>
  <sheetFormatPr defaultColWidth="9.140625" defaultRowHeight="15" x14ac:dyDescent="0.25"/>
  <cols>
    <col min="1" max="1" width="3.28515625" style="77" customWidth="1"/>
    <col min="2" max="2" width="23.42578125" style="77" customWidth="1"/>
    <col min="3" max="3" width="9.42578125" style="77" customWidth="1"/>
    <col min="4" max="4" width="9.28515625" style="77" customWidth="1"/>
    <col min="5" max="5" width="8.85546875" style="77" customWidth="1"/>
    <col min="6" max="6" width="9.140625" style="77"/>
    <col min="7" max="7" width="8.42578125" style="77" customWidth="1"/>
    <col min="8" max="8" width="8.28515625" style="77" customWidth="1"/>
    <col min="9" max="10" width="9.28515625" style="77" bestFit="1" customWidth="1"/>
    <col min="11" max="11" width="8" style="77" customWidth="1"/>
    <col min="12" max="13" width="9.140625" style="77"/>
    <col min="14" max="14" width="8.28515625" style="77" customWidth="1"/>
    <col min="15" max="15" width="3.5703125" style="77" customWidth="1"/>
    <col min="16" max="16" width="3.85546875" style="77" customWidth="1"/>
    <col min="17" max="17" width="3.7109375" style="77" customWidth="1"/>
    <col min="18" max="18" width="3" style="77" customWidth="1"/>
    <col min="19" max="19" width="3.85546875" style="77" customWidth="1"/>
    <col min="20" max="20" width="2.28515625" style="77" customWidth="1"/>
    <col min="21" max="21" width="7.7109375" style="77" customWidth="1"/>
    <col min="22" max="24" width="9.140625" style="77"/>
    <col min="25" max="25" width="8.140625" style="77" customWidth="1"/>
    <col min="26" max="16384" width="9.140625" style="77"/>
  </cols>
  <sheetData>
    <row r="1" spans="2:14" x14ac:dyDescent="0.25">
      <c r="B1" s="11" t="s">
        <v>460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2:14" ht="15.75" thickBot="1" x14ac:dyDescent="0.3">
      <c r="B2" s="11" t="s">
        <v>450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4" ht="17.25" customHeight="1" thickBot="1" x14ac:dyDescent="0.3">
      <c r="B3" s="1075" t="s">
        <v>95</v>
      </c>
      <c r="C3" s="1078" t="s">
        <v>508</v>
      </c>
      <c r="D3" s="1079"/>
      <c r="E3" s="1079"/>
      <c r="F3" s="1079"/>
      <c r="G3" s="1079"/>
      <c r="H3" s="1079"/>
      <c r="I3" s="1079"/>
      <c r="J3" s="1079"/>
      <c r="K3" s="1079"/>
      <c r="L3" s="1079"/>
      <c r="M3" s="1079"/>
      <c r="N3" s="1080"/>
    </row>
    <row r="4" spans="2:14" ht="21" customHeight="1" x14ac:dyDescent="0.25">
      <c r="B4" s="1076"/>
      <c r="C4" s="1081" t="s">
        <v>98</v>
      </c>
      <c r="D4" s="1082"/>
      <c r="E4" s="1083"/>
      <c r="F4" s="1081" t="s">
        <v>222</v>
      </c>
      <c r="G4" s="1082"/>
      <c r="H4" s="1082"/>
      <c r="I4" s="1082"/>
      <c r="J4" s="1082"/>
      <c r="K4" s="1082"/>
      <c r="L4" s="1082"/>
      <c r="M4" s="1082"/>
      <c r="N4" s="1083"/>
    </row>
    <row r="5" spans="2:14" ht="17.25" customHeight="1" thickBot="1" x14ac:dyDescent="0.3">
      <c r="B5" s="1076"/>
      <c r="C5" s="1084"/>
      <c r="D5" s="1085"/>
      <c r="E5" s="1086"/>
      <c r="F5" s="1087" t="s">
        <v>144</v>
      </c>
      <c r="G5" s="1088"/>
      <c r="H5" s="1088"/>
      <c r="I5" s="1089" t="s">
        <v>93</v>
      </c>
      <c r="J5" s="1089"/>
      <c r="K5" s="1089"/>
      <c r="L5" s="1088" t="s">
        <v>145</v>
      </c>
      <c r="M5" s="1088"/>
      <c r="N5" s="1090"/>
    </row>
    <row r="6" spans="2:14" ht="18" customHeight="1" x14ac:dyDescent="0.25">
      <c r="B6" s="1076"/>
      <c r="C6" s="1091" t="s">
        <v>4</v>
      </c>
      <c r="D6" s="1093" t="s">
        <v>92</v>
      </c>
      <c r="E6" s="1094"/>
      <c r="F6" s="1095" t="s">
        <v>4</v>
      </c>
      <c r="G6" s="1070" t="s">
        <v>92</v>
      </c>
      <c r="H6" s="1070"/>
      <c r="I6" s="1052" t="s">
        <v>4</v>
      </c>
      <c r="J6" s="1070" t="s">
        <v>92</v>
      </c>
      <c r="K6" s="1070"/>
      <c r="L6" s="1071" t="s">
        <v>4</v>
      </c>
      <c r="M6" s="1073" t="s">
        <v>92</v>
      </c>
      <c r="N6" s="1074"/>
    </row>
    <row r="7" spans="2:14" ht="15.75" thickBot="1" x14ac:dyDescent="0.3">
      <c r="B7" s="1077"/>
      <c r="C7" s="1092"/>
      <c r="D7" s="646" t="s">
        <v>99</v>
      </c>
      <c r="E7" s="643" t="s">
        <v>347</v>
      </c>
      <c r="F7" s="1018"/>
      <c r="G7" s="646" t="s">
        <v>99</v>
      </c>
      <c r="H7" s="644" t="s">
        <v>347</v>
      </c>
      <c r="I7" s="1089"/>
      <c r="J7" s="646" t="s">
        <v>99</v>
      </c>
      <c r="K7" s="644" t="s">
        <v>347</v>
      </c>
      <c r="L7" s="1072"/>
      <c r="M7" s="646" t="s">
        <v>99</v>
      </c>
      <c r="N7" s="643" t="s">
        <v>347</v>
      </c>
    </row>
    <row r="8" spans="2:14" ht="26.25" customHeight="1" thickBot="1" x14ac:dyDescent="0.3">
      <c r="B8" s="254" t="s">
        <v>13</v>
      </c>
      <c r="C8" s="255">
        <f>SUM(C9:C33)</f>
        <v>72059</v>
      </c>
      <c r="D8" s="256">
        <f>SUM(D9:D33)</f>
        <v>35372</v>
      </c>
      <c r="E8" s="257">
        <f>D8/C8*100</f>
        <v>49.087553254971624</v>
      </c>
      <c r="F8" s="255">
        <f>SUM(F9:F33)</f>
        <v>19372</v>
      </c>
      <c r="G8" s="256">
        <f>SUM(G9:G33)</f>
        <v>9718</v>
      </c>
      <c r="H8" s="280">
        <f>G8/F8*100</f>
        <v>50.165186867644017</v>
      </c>
      <c r="I8" s="256">
        <f>SUM(I9:I33)</f>
        <v>35074</v>
      </c>
      <c r="J8" s="256">
        <f>SUM(J9:J33)</f>
        <v>19130</v>
      </c>
      <c r="K8" s="280">
        <f>J8/I8*100</f>
        <v>54.541825853908875</v>
      </c>
      <c r="L8" s="256">
        <f>SUM(L9:L33)</f>
        <v>17613</v>
      </c>
      <c r="M8" s="256">
        <f>SUM(M9:M33)</f>
        <v>6524</v>
      </c>
      <c r="N8" s="645">
        <f>M8/L8*100</f>
        <v>37.040822120024977</v>
      </c>
    </row>
    <row r="9" spans="2:14" ht="15.75" thickTop="1" x14ac:dyDescent="0.25">
      <c r="B9" s="174" t="s">
        <v>14</v>
      </c>
      <c r="C9" s="178">
        <v>1112</v>
      </c>
      <c r="D9" s="179">
        <v>509</v>
      </c>
      <c r="E9" s="54">
        <f>D9/C9*100</f>
        <v>45.773381294964025</v>
      </c>
      <c r="F9" s="178">
        <v>288</v>
      </c>
      <c r="G9" s="179">
        <v>158</v>
      </c>
      <c r="H9" s="251">
        <f>G9/F9*100</f>
        <v>54.861111111111114</v>
      </c>
      <c r="I9" s="179">
        <f>SUM(C9)-(F9+L9)</f>
        <v>571</v>
      </c>
      <c r="J9" s="179">
        <f>SUM(D9)-(G9+M9)</f>
        <v>271</v>
      </c>
      <c r="K9" s="251">
        <f>J9/I9*100</f>
        <v>47.460595446584939</v>
      </c>
      <c r="L9" s="179">
        <v>253</v>
      </c>
      <c r="M9" s="179">
        <v>80</v>
      </c>
      <c r="N9" s="54">
        <f t="shared" ref="N9:N33" si="0">M9/L9*100</f>
        <v>31.620553359683797</v>
      </c>
    </row>
    <row r="10" spans="2:14" x14ac:dyDescent="0.25">
      <c r="B10" s="175" t="s">
        <v>15</v>
      </c>
      <c r="C10" s="50">
        <v>3681</v>
      </c>
      <c r="D10" s="9">
        <v>1771</v>
      </c>
      <c r="E10" s="7">
        <f>D10/C10*100</f>
        <v>48.111926107036126</v>
      </c>
      <c r="F10" s="50">
        <v>1030</v>
      </c>
      <c r="G10" s="9">
        <v>451</v>
      </c>
      <c r="H10" s="10">
        <f>G10/F10*100</f>
        <v>43.786407766990294</v>
      </c>
      <c r="I10" s="9">
        <f>SUM(C10)-(F10+L10)</f>
        <v>1749</v>
      </c>
      <c r="J10" s="9">
        <f t="shared" ref="J10:J33" si="1">SUM(D10)-(G10+M10)</f>
        <v>933</v>
      </c>
      <c r="K10" s="10">
        <f t="shared" ref="K10:K33" si="2">J10/I10*100</f>
        <v>53.344768439108059</v>
      </c>
      <c r="L10" s="9">
        <v>902</v>
      </c>
      <c r="M10" s="9">
        <v>387</v>
      </c>
      <c r="N10" s="7">
        <f t="shared" si="0"/>
        <v>42.90465631929046</v>
      </c>
    </row>
    <row r="11" spans="2:14" x14ac:dyDescent="0.25">
      <c r="B11" s="175" t="s">
        <v>16</v>
      </c>
      <c r="C11" s="50">
        <v>2800</v>
      </c>
      <c r="D11" s="9">
        <v>1566</v>
      </c>
      <c r="E11" s="7">
        <f t="shared" ref="E11:E33" si="3">D11/C11*100</f>
        <v>55.928571428571431</v>
      </c>
      <c r="F11" s="50">
        <v>910</v>
      </c>
      <c r="G11" s="9">
        <v>517</v>
      </c>
      <c r="H11" s="10">
        <f>G11/F11*100</f>
        <v>56.81318681318681</v>
      </c>
      <c r="I11" s="9">
        <f>SUM(C11)-(F11+L11)</f>
        <v>1312</v>
      </c>
      <c r="J11" s="9">
        <f t="shared" si="1"/>
        <v>808</v>
      </c>
      <c r="K11" s="10">
        <f t="shared" si="2"/>
        <v>61.585365853658537</v>
      </c>
      <c r="L11" s="9">
        <v>578</v>
      </c>
      <c r="M11" s="9">
        <v>241</v>
      </c>
      <c r="N11" s="7">
        <f t="shared" si="0"/>
        <v>41.695501730103807</v>
      </c>
    </row>
    <row r="12" spans="2:14" x14ac:dyDescent="0.25">
      <c r="B12" s="175" t="s">
        <v>17</v>
      </c>
      <c r="C12" s="50">
        <v>4726</v>
      </c>
      <c r="D12" s="9">
        <v>2396</v>
      </c>
      <c r="E12" s="7">
        <f t="shared" si="3"/>
        <v>50.698264917477786</v>
      </c>
      <c r="F12" s="50">
        <v>1207</v>
      </c>
      <c r="G12" s="9">
        <v>639</v>
      </c>
      <c r="H12" s="10">
        <f>G12/F12*100</f>
        <v>52.941176470588239</v>
      </c>
      <c r="I12" s="9">
        <f t="shared" ref="I12:I33" si="4">SUM(C12)-(F12+L12)</f>
        <v>2354</v>
      </c>
      <c r="J12" s="9">
        <f t="shared" si="1"/>
        <v>1322</v>
      </c>
      <c r="K12" s="10">
        <f t="shared" si="2"/>
        <v>56.159728122344944</v>
      </c>
      <c r="L12" s="9">
        <v>1165</v>
      </c>
      <c r="M12" s="9">
        <v>435</v>
      </c>
      <c r="N12" s="7">
        <f t="shared" si="0"/>
        <v>37.339055793991413</v>
      </c>
    </row>
    <row r="13" spans="2:14" x14ac:dyDescent="0.25">
      <c r="B13" s="175" t="s">
        <v>18</v>
      </c>
      <c r="C13" s="50">
        <v>5198</v>
      </c>
      <c r="D13" s="9">
        <v>2826</v>
      </c>
      <c r="E13" s="7">
        <f t="shared" si="3"/>
        <v>54.36706425548288</v>
      </c>
      <c r="F13" s="50">
        <v>1404</v>
      </c>
      <c r="G13" s="9">
        <v>755</v>
      </c>
      <c r="H13" s="10">
        <f t="shared" ref="H13:H31" si="5">G13/F13*100</f>
        <v>53.774928774928775</v>
      </c>
      <c r="I13" s="9">
        <f t="shared" si="4"/>
        <v>2604</v>
      </c>
      <c r="J13" s="9">
        <f t="shared" si="1"/>
        <v>1562</v>
      </c>
      <c r="K13" s="10">
        <f t="shared" si="2"/>
        <v>59.984639016897077</v>
      </c>
      <c r="L13" s="9">
        <v>1190</v>
      </c>
      <c r="M13" s="9">
        <v>509</v>
      </c>
      <c r="N13" s="7">
        <f>M13/L13*100</f>
        <v>42.773109243697476</v>
      </c>
    </row>
    <row r="14" spans="2:14" x14ac:dyDescent="0.25">
      <c r="B14" s="175" t="s">
        <v>19</v>
      </c>
      <c r="C14" s="50">
        <v>1677</v>
      </c>
      <c r="D14" s="9">
        <v>761</v>
      </c>
      <c r="E14" s="7">
        <f t="shared" si="3"/>
        <v>45.37865235539654</v>
      </c>
      <c r="F14" s="50">
        <v>509</v>
      </c>
      <c r="G14" s="9">
        <v>244</v>
      </c>
      <c r="H14" s="10">
        <f t="shared" si="5"/>
        <v>47.937131630648331</v>
      </c>
      <c r="I14" s="9">
        <f t="shared" si="4"/>
        <v>733</v>
      </c>
      <c r="J14" s="9">
        <f t="shared" si="1"/>
        <v>385</v>
      </c>
      <c r="K14" s="10">
        <f>J14/I14*100</f>
        <v>52.52387448840382</v>
      </c>
      <c r="L14" s="9">
        <v>435</v>
      </c>
      <c r="M14" s="9">
        <v>132</v>
      </c>
      <c r="N14" s="7">
        <f t="shared" si="0"/>
        <v>30.344827586206897</v>
      </c>
    </row>
    <row r="15" spans="2:14" x14ac:dyDescent="0.25">
      <c r="B15" s="175" t="s">
        <v>20</v>
      </c>
      <c r="C15" s="50">
        <v>2624</v>
      </c>
      <c r="D15" s="9">
        <v>1381</v>
      </c>
      <c r="E15" s="7">
        <f>D15/C15*100</f>
        <v>52.629573170731703</v>
      </c>
      <c r="F15" s="50">
        <v>695</v>
      </c>
      <c r="G15" s="9">
        <v>391</v>
      </c>
      <c r="H15" s="10">
        <f t="shared" si="5"/>
        <v>56.258992805755391</v>
      </c>
      <c r="I15" s="9">
        <f t="shared" si="4"/>
        <v>1234</v>
      </c>
      <c r="J15" s="9">
        <f t="shared" si="1"/>
        <v>721</v>
      </c>
      <c r="K15" s="10">
        <f t="shared" si="2"/>
        <v>58.427876823338728</v>
      </c>
      <c r="L15" s="9">
        <v>695</v>
      </c>
      <c r="M15" s="9">
        <v>269</v>
      </c>
      <c r="N15" s="7">
        <f>M15/L15*100</f>
        <v>38.705035971223026</v>
      </c>
    </row>
    <row r="16" spans="2:14" x14ac:dyDescent="0.25">
      <c r="B16" s="175" t="s">
        <v>21</v>
      </c>
      <c r="C16" s="50">
        <v>1754</v>
      </c>
      <c r="D16" s="9">
        <v>787</v>
      </c>
      <c r="E16" s="7">
        <f t="shared" si="3"/>
        <v>44.868871151653359</v>
      </c>
      <c r="F16" s="50">
        <v>426</v>
      </c>
      <c r="G16" s="9">
        <v>201</v>
      </c>
      <c r="H16" s="10">
        <f>G16/F16*100</f>
        <v>47.183098591549296</v>
      </c>
      <c r="I16" s="9">
        <f t="shared" si="4"/>
        <v>868</v>
      </c>
      <c r="J16" s="9">
        <f t="shared" si="1"/>
        <v>423</v>
      </c>
      <c r="K16" s="10">
        <f t="shared" si="2"/>
        <v>48.732718894009217</v>
      </c>
      <c r="L16" s="9">
        <v>460</v>
      </c>
      <c r="M16" s="9">
        <v>163</v>
      </c>
      <c r="N16" s="7">
        <f>M16/L16*100</f>
        <v>35.434782608695656</v>
      </c>
    </row>
    <row r="17" spans="2:29" x14ac:dyDescent="0.25">
      <c r="B17" s="175" t="s">
        <v>22</v>
      </c>
      <c r="C17" s="50">
        <v>3001</v>
      </c>
      <c r="D17" s="9">
        <v>1513</v>
      </c>
      <c r="E17" s="7">
        <f t="shared" si="3"/>
        <v>50.41652782405864</v>
      </c>
      <c r="F17" s="50">
        <v>835</v>
      </c>
      <c r="G17" s="9">
        <v>400</v>
      </c>
      <c r="H17" s="10">
        <f t="shared" si="5"/>
        <v>47.904191616766468</v>
      </c>
      <c r="I17" s="9">
        <f t="shared" si="4"/>
        <v>1492</v>
      </c>
      <c r="J17" s="9">
        <f t="shared" si="1"/>
        <v>830</v>
      </c>
      <c r="K17" s="10">
        <f>J17/I17*100</f>
        <v>55.630026809651476</v>
      </c>
      <c r="L17" s="9">
        <v>674</v>
      </c>
      <c r="M17" s="9">
        <v>283</v>
      </c>
      <c r="N17" s="7">
        <f>M17/L17*100</f>
        <v>41.988130563798222</v>
      </c>
      <c r="U17" s="391" t="s">
        <v>536</v>
      </c>
      <c r="V17" s="377"/>
      <c r="W17" s="377"/>
      <c r="X17" s="377"/>
      <c r="Y17" s="377"/>
      <c r="Z17" s="377"/>
      <c r="AA17" s="391" t="s">
        <v>537</v>
      </c>
      <c r="AB17" s="377"/>
      <c r="AC17" s="377"/>
    </row>
    <row r="18" spans="2:29" x14ac:dyDescent="0.25">
      <c r="B18" s="175" t="s">
        <v>23</v>
      </c>
      <c r="C18" s="50">
        <v>1788</v>
      </c>
      <c r="D18" s="9">
        <v>778</v>
      </c>
      <c r="E18" s="7">
        <f t="shared" si="3"/>
        <v>43.512304250559289</v>
      </c>
      <c r="F18" s="50">
        <v>524</v>
      </c>
      <c r="G18" s="9">
        <v>256</v>
      </c>
      <c r="H18" s="10">
        <f t="shared" si="5"/>
        <v>48.854961832061065</v>
      </c>
      <c r="I18" s="9">
        <f t="shared" si="4"/>
        <v>786</v>
      </c>
      <c r="J18" s="9">
        <f t="shared" si="1"/>
        <v>373</v>
      </c>
      <c r="K18" s="10">
        <f t="shared" si="2"/>
        <v>47.455470737913487</v>
      </c>
      <c r="L18" s="9">
        <v>478</v>
      </c>
      <c r="M18" s="9">
        <v>149</v>
      </c>
      <c r="N18" s="7">
        <f>M18/L18*100</f>
        <v>31.171548117154813</v>
      </c>
      <c r="U18" s="392" t="s">
        <v>299</v>
      </c>
      <c r="V18" s="379">
        <f>SUM(F8)</f>
        <v>19372</v>
      </c>
      <c r="W18" s="380">
        <f>SUM(V18/C8)*100</f>
        <v>26.883525999528164</v>
      </c>
      <c r="X18" s="377"/>
      <c r="Y18" s="377"/>
      <c r="Z18" s="377"/>
      <c r="AA18" s="392" t="s">
        <v>299</v>
      </c>
      <c r="AB18" s="379">
        <f>SUM('T.XIV T.XV'!C10)</f>
        <v>17915</v>
      </c>
      <c r="AC18" s="380">
        <f>SUM(AB18/AB21)*100</f>
        <v>26.605381965070691</v>
      </c>
    </row>
    <row r="19" spans="2:29" x14ac:dyDescent="0.25">
      <c r="B19" s="175" t="s">
        <v>24</v>
      </c>
      <c r="C19" s="50">
        <v>2629</v>
      </c>
      <c r="D19" s="9">
        <v>1194</v>
      </c>
      <c r="E19" s="7">
        <f t="shared" si="3"/>
        <v>45.416508178014453</v>
      </c>
      <c r="F19" s="50">
        <v>789</v>
      </c>
      <c r="G19" s="9">
        <v>380</v>
      </c>
      <c r="H19" s="10">
        <f>G19/F19*100</f>
        <v>48.162230671736374</v>
      </c>
      <c r="I19" s="9">
        <f t="shared" si="4"/>
        <v>1229</v>
      </c>
      <c r="J19" s="9">
        <f t="shared" si="1"/>
        <v>618</v>
      </c>
      <c r="K19" s="10">
        <f t="shared" si="2"/>
        <v>50.284784377542714</v>
      </c>
      <c r="L19" s="9">
        <v>611</v>
      </c>
      <c r="M19" s="9">
        <v>196</v>
      </c>
      <c r="N19" s="7">
        <f t="shared" si="0"/>
        <v>32.078559738134203</v>
      </c>
      <c r="U19" s="431" t="s">
        <v>300</v>
      </c>
      <c r="V19" s="432">
        <f>SUM(I8)</f>
        <v>35074</v>
      </c>
      <c r="W19" s="433">
        <f>SUM(V19/C8)*100</f>
        <v>48.674003247338987</v>
      </c>
      <c r="X19" s="377"/>
      <c r="Y19" s="377"/>
      <c r="Z19" s="377"/>
      <c r="AA19" s="431" t="s">
        <v>300</v>
      </c>
      <c r="AB19" s="432">
        <f>SUM(AB22-AB18-AB20)</f>
        <v>32787</v>
      </c>
      <c r="AC19" s="433">
        <f>SUM(AB19/AB21)*100</f>
        <v>48.691635974812883</v>
      </c>
    </row>
    <row r="20" spans="2:29" x14ac:dyDescent="0.25">
      <c r="B20" s="175" t="s">
        <v>25</v>
      </c>
      <c r="C20" s="50">
        <v>3502</v>
      </c>
      <c r="D20" s="9">
        <v>1623</v>
      </c>
      <c r="E20" s="7">
        <f t="shared" si="3"/>
        <v>46.344945745288406</v>
      </c>
      <c r="F20" s="50">
        <v>945</v>
      </c>
      <c r="G20" s="9">
        <v>456</v>
      </c>
      <c r="H20" s="10">
        <f t="shared" si="5"/>
        <v>48.253968253968253</v>
      </c>
      <c r="I20" s="9">
        <f t="shared" si="4"/>
        <v>1704</v>
      </c>
      <c r="J20" s="9">
        <f t="shared" si="1"/>
        <v>864</v>
      </c>
      <c r="K20" s="10">
        <f t="shared" si="2"/>
        <v>50.704225352112672</v>
      </c>
      <c r="L20" s="9">
        <v>853</v>
      </c>
      <c r="M20" s="9">
        <v>303</v>
      </c>
      <c r="N20" s="7">
        <f t="shared" si="0"/>
        <v>35.521688159437282</v>
      </c>
      <c r="U20" s="392" t="s">
        <v>301</v>
      </c>
      <c r="V20" s="379">
        <f>SUM(L8)</f>
        <v>17613</v>
      </c>
      <c r="W20" s="380">
        <f>SUM(V20/C8)*100</f>
        <v>24.442470753132849</v>
      </c>
      <c r="X20" s="377"/>
      <c r="Y20" s="377"/>
      <c r="Z20" s="377"/>
      <c r="AA20" s="392" t="s">
        <v>301</v>
      </c>
      <c r="AB20" s="379">
        <f>SUM('T.XIV T.XV'!C13)</f>
        <v>16634</v>
      </c>
      <c r="AC20" s="380">
        <f>SUM(AB20/AB21)*100</f>
        <v>24.702982060116433</v>
      </c>
    </row>
    <row r="21" spans="2:29" x14ac:dyDescent="0.25">
      <c r="B21" s="175" t="s">
        <v>26</v>
      </c>
      <c r="C21" s="50">
        <v>2939</v>
      </c>
      <c r="D21" s="9">
        <v>1415</v>
      </c>
      <c r="E21" s="7">
        <f t="shared" si="3"/>
        <v>48.145627764545765</v>
      </c>
      <c r="F21" s="50">
        <v>785</v>
      </c>
      <c r="G21" s="9">
        <v>377</v>
      </c>
      <c r="H21" s="10">
        <f t="shared" si="5"/>
        <v>48.025477707006367</v>
      </c>
      <c r="I21" s="9">
        <f t="shared" si="4"/>
        <v>1452</v>
      </c>
      <c r="J21" s="9">
        <f t="shared" si="1"/>
        <v>776</v>
      </c>
      <c r="K21" s="10">
        <f t="shared" si="2"/>
        <v>53.443526170798897</v>
      </c>
      <c r="L21" s="9">
        <v>702</v>
      </c>
      <c r="M21" s="9">
        <v>262</v>
      </c>
      <c r="N21" s="7">
        <f t="shared" si="0"/>
        <v>37.32193732193732</v>
      </c>
      <c r="U21" s="378"/>
      <c r="V21" s="379">
        <f>SUM(V18:V20)</f>
        <v>72059</v>
      </c>
      <c r="W21" s="380">
        <f>SUM(W18:W20)</f>
        <v>100</v>
      </c>
      <c r="X21" s="377"/>
      <c r="Y21" s="377"/>
      <c r="Z21" s="377"/>
      <c r="AA21" s="378"/>
      <c r="AB21" s="379">
        <f>SUM(AB18:AB20)</f>
        <v>67336</v>
      </c>
      <c r="AC21" s="380">
        <f>SUM(AC18:AC20)</f>
        <v>100</v>
      </c>
    </row>
    <row r="22" spans="2:29" x14ac:dyDescent="0.25">
      <c r="B22" s="176" t="s">
        <v>27</v>
      </c>
      <c r="C22" s="106">
        <v>3036</v>
      </c>
      <c r="D22" s="107">
        <v>1399</v>
      </c>
      <c r="E22" s="7">
        <f t="shared" si="3"/>
        <v>46.080368906455867</v>
      </c>
      <c r="F22" s="106">
        <v>853</v>
      </c>
      <c r="G22" s="107">
        <v>403</v>
      </c>
      <c r="H22" s="10">
        <f t="shared" si="5"/>
        <v>47.245017584994137</v>
      </c>
      <c r="I22" s="107">
        <f t="shared" si="4"/>
        <v>1434</v>
      </c>
      <c r="J22" s="107">
        <f t="shared" si="1"/>
        <v>750</v>
      </c>
      <c r="K22" s="10">
        <f t="shared" si="2"/>
        <v>52.30125523012552</v>
      </c>
      <c r="L22" s="107">
        <v>749</v>
      </c>
      <c r="M22" s="107">
        <v>246</v>
      </c>
      <c r="N22" s="7">
        <f t="shared" si="0"/>
        <v>32.843791722296395</v>
      </c>
      <c r="U22" s="377"/>
      <c r="V22" s="377"/>
      <c r="W22" s="377"/>
      <c r="X22" s="377"/>
      <c r="Y22" s="377"/>
      <c r="Z22" s="377"/>
      <c r="AA22" s="377"/>
      <c r="AB22" s="516">
        <f>SUM('T.XIV T.XV'!C8)</f>
        <v>67336</v>
      </c>
      <c r="AC22" s="377"/>
    </row>
    <row r="23" spans="2:29" x14ac:dyDescent="0.25">
      <c r="B23" s="176" t="s">
        <v>28</v>
      </c>
      <c r="C23" s="106">
        <v>3610</v>
      </c>
      <c r="D23" s="107">
        <v>1839</v>
      </c>
      <c r="E23" s="7">
        <f t="shared" si="3"/>
        <v>50.941828254847643</v>
      </c>
      <c r="F23" s="106">
        <v>987</v>
      </c>
      <c r="G23" s="107">
        <v>480</v>
      </c>
      <c r="H23" s="10">
        <f>G23/F23*100</f>
        <v>48.632218844984806</v>
      </c>
      <c r="I23" s="107">
        <f t="shared" si="4"/>
        <v>1773</v>
      </c>
      <c r="J23" s="107">
        <f t="shared" si="1"/>
        <v>1037</v>
      </c>
      <c r="K23" s="10">
        <f t="shared" si="2"/>
        <v>58.488437676254932</v>
      </c>
      <c r="L23" s="107">
        <v>850</v>
      </c>
      <c r="M23" s="107">
        <v>322</v>
      </c>
      <c r="N23" s="7">
        <f t="shared" si="0"/>
        <v>37.882352941176471</v>
      </c>
    </row>
    <row r="24" spans="2:29" x14ac:dyDescent="0.25">
      <c r="B24" s="176" t="s">
        <v>29</v>
      </c>
      <c r="C24" s="106">
        <v>2919</v>
      </c>
      <c r="D24" s="107">
        <v>1472</v>
      </c>
      <c r="E24" s="7">
        <f t="shared" si="3"/>
        <v>50.428228845495035</v>
      </c>
      <c r="F24" s="106">
        <v>959</v>
      </c>
      <c r="G24" s="107">
        <v>489</v>
      </c>
      <c r="H24" s="10">
        <f t="shared" si="5"/>
        <v>50.99061522419187</v>
      </c>
      <c r="I24" s="107">
        <f t="shared" si="4"/>
        <v>1343</v>
      </c>
      <c r="J24" s="107">
        <f t="shared" si="1"/>
        <v>772</v>
      </c>
      <c r="K24" s="10">
        <f t="shared" si="2"/>
        <v>57.483246463142223</v>
      </c>
      <c r="L24" s="107">
        <v>617</v>
      </c>
      <c r="M24" s="107">
        <v>211</v>
      </c>
      <c r="N24" s="7">
        <f t="shared" si="0"/>
        <v>34.197730956239866</v>
      </c>
    </row>
    <row r="25" spans="2:29" x14ac:dyDescent="0.25">
      <c r="B25" s="176" t="s">
        <v>30</v>
      </c>
      <c r="C25" s="106">
        <v>4992</v>
      </c>
      <c r="D25" s="107">
        <v>2351</v>
      </c>
      <c r="E25" s="7">
        <f t="shared" si="3"/>
        <v>47.095352564102569</v>
      </c>
      <c r="F25" s="106">
        <v>1356</v>
      </c>
      <c r="G25" s="107">
        <v>659</v>
      </c>
      <c r="H25" s="10">
        <f t="shared" si="5"/>
        <v>48.598820058997049</v>
      </c>
      <c r="I25" s="107">
        <f t="shared" si="4"/>
        <v>2402</v>
      </c>
      <c r="J25" s="107">
        <f t="shared" si="1"/>
        <v>1292</v>
      </c>
      <c r="K25" s="10">
        <f t="shared" si="2"/>
        <v>53.788509575353871</v>
      </c>
      <c r="L25" s="107">
        <v>1234</v>
      </c>
      <c r="M25" s="107">
        <v>400</v>
      </c>
      <c r="N25" s="7">
        <f t="shared" si="0"/>
        <v>32.414910858995135</v>
      </c>
    </row>
    <row r="26" spans="2:29" x14ac:dyDescent="0.25">
      <c r="B26" s="176" t="s">
        <v>31</v>
      </c>
      <c r="C26" s="106">
        <v>3068</v>
      </c>
      <c r="D26" s="107">
        <v>1470</v>
      </c>
      <c r="E26" s="7">
        <f t="shared" si="3"/>
        <v>47.913950456323342</v>
      </c>
      <c r="F26" s="106">
        <v>833</v>
      </c>
      <c r="G26" s="107">
        <v>418</v>
      </c>
      <c r="H26" s="10">
        <f>G26/F26*100</f>
        <v>50.18007202881153</v>
      </c>
      <c r="I26" s="107">
        <f t="shared" si="4"/>
        <v>1509</v>
      </c>
      <c r="J26" s="107">
        <f t="shared" si="1"/>
        <v>781</v>
      </c>
      <c r="K26" s="10">
        <f t="shared" si="2"/>
        <v>51.756129887342603</v>
      </c>
      <c r="L26" s="107">
        <v>726</v>
      </c>
      <c r="M26" s="107">
        <v>271</v>
      </c>
      <c r="N26" s="7">
        <f t="shared" si="0"/>
        <v>37.327823691460054</v>
      </c>
    </row>
    <row r="27" spans="2:29" x14ac:dyDescent="0.25">
      <c r="B27" s="176" t="s">
        <v>32</v>
      </c>
      <c r="C27" s="106">
        <v>2445</v>
      </c>
      <c r="D27" s="107">
        <v>1202</v>
      </c>
      <c r="E27" s="7">
        <f t="shared" si="3"/>
        <v>49.16155419222904</v>
      </c>
      <c r="F27" s="106">
        <v>668</v>
      </c>
      <c r="G27" s="107">
        <v>357</v>
      </c>
      <c r="H27" s="10">
        <f t="shared" si="5"/>
        <v>53.443113772455085</v>
      </c>
      <c r="I27" s="107">
        <f t="shared" si="4"/>
        <v>1171</v>
      </c>
      <c r="J27" s="107">
        <f t="shared" si="1"/>
        <v>627</v>
      </c>
      <c r="K27" s="10">
        <f t="shared" si="2"/>
        <v>53.543979504696836</v>
      </c>
      <c r="L27" s="107">
        <v>606</v>
      </c>
      <c r="M27" s="107">
        <v>218</v>
      </c>
      <c r="N27" s="7">
        <f t="shared" si="0"/>
        <v>35.973597359735976</v>
      </c>
    </row>
    <row r="28" spans="2:29" x14ac:dyDescent="0.25">
      <c r="B28" s="176" t="s">
        <v>33</v>
      </c>
      <c r="C28" s="106">
        <v>3182</v>
      </c>
      <c r="D28" s="107">
        <v>1521</v>
      </c>
      <c r="E28" s="7">
        <f t="shared" si="3"/>
        <v>47.800125707102453</v>
      </c>
      <c r="F28" s="106">
        <v>903</v>
      </c>
      <c r="G28" s="107">
        <v>419</v>
      </c>
      <c r="H28" s="10">
        <f t="shared" si="5"/>
        <v>46.400885935769658</v>
      </c>
      <c r="I28" s="107">
        <f t="shared" si="4"/>
        <v>1482</v>
      </c>
      <c r="J28" s="107">
        <f t="shared" si="1"/>
        <v>822</v>
      </c>
      <c r="K28" s="10">
        <f t="shared" si="2"/>
        <v>55.465587044534416</v>
      </c>
      <c r="L28" s="107">
        <v>797</v>
      </c>
      <c r="M28" s="107">
        <v>280</v>
      </c>
      <c r="N28" s="7">
        <f t="shared" si="0"/>
        <v>35.131744040150565</v>
      </c>
    </row>
    <row r="29" spans="2:29" x14ac:dyDescent="0.25">
      <c r="B29" s="176" t="s">
        <v>34</v>
      </c>
      <c r="C29" s="106">
        <v>1422</v>
      </c>
      <c r="D29" s="107">
        <v>730</v>
      </c>
      <c r="E29" s="7">
        <f t="shared" si="3"/>
        <v>51.336146272855132</v>
      </c>
      <c r="F29" s="106">
        <v>389</v>
      </c>
      <c r="G29" s="107">
        <v>210</v>
      </c>
      <c r="H29" s="10">
        <f t="shared" si="5"/>
        <v>53.984575835475582</v>
      </c>
      <c r="I29" s="107">
        <f t="shared" si="4"/>
        <v>638</v>
      </c>
      <c r="J29" s="107">
        <f t="shared" si="1"/>
        <v>372</v>
      </c>
      <c r="K29" s="10">
        <f t="shared" si="2"/>
        <v>58.307210031347964</v>
      </c>
      <c r="L29" s="107">
        <v>395</v>
      </c>
      <c r="M29" s="107">
        <v>148</v>
      </c>
      <c r="N29" s="7">
        <f t="shared" si="0"/>
        <v>37.468354430379748</v>
      </c>
    </row>
    <row r="30" spans="2:29" x14ac:dyDescent="0.25">
      <c r="B30" s="176" t="s">
        <v>35</v>
      </c>
      <c r="C30" s="106">
        <v>1024</v>
      </c>
      <c r="D30" s="107">
        <v>536</v>
      </c>
      <c r="E30" s="7">
        <f t="shared" si="3"/>
        <v>52.34375</v>
      </c>
      <c r="F30" s="106">
        <v>215</v>
      </c>
      <c r="G30" s="107">
        <v>121</v>
      </c>
      <c r="H30" s="10">
        <f>G30/F30*100</f>
        <v>56.279069767441861</v>
      </c>
      <c r="I30" s="107">
        <f t="shared" si="4"/>
        <v>564</v>
      </c>
      <c r="J30" s="107">
        <f t="shared" si="1"/>
        <v>313</v>
      </c>
      <c r="K30" s="10">
        <f t="shared" si="2"/>
        <v>55.49645390070922</v>
      </c>
      <c r="L30" s="107">
        <v>245</v>
      </c>
      <c r="M30" s="107">
        <v>102</v>
      </c>
      <c r="N30" s="7">
        <f t="shared" si="0"/>
        <v>41.632653061224488</v>
      </c>
    </row>
    <row r="31" spans="2:29" x14ac:dyDescent="0.25">
      <c r="B31" s="176" t="s">
        <v>36</v>
      </c>
      <c r="C31" s="106">
        <v>2445</v>
      </c>
      <c r="D31" s="107">
        <v>1119</v>
      </c>
      <c r="E31" s="7">
        <f t="shared" si="3"/>
        <v>45.766871165644176</v>
      </c>
      <c r="F31" s="106">
        <v>465</v>
      </c>
      <c r="G31" s="107">
        <v>208</v>
      </c>
      <c r="H31" s="10">
        <f t="shared" si="5"/>
        <v>44.731182795698928</v>
      </c>
      <c r="I31" s="107">
        <f t="shared" si="4"/>
        <v>1241</v>
      </c>
      <c r="J31" s="107">
        <f t="shared" si="1"/>
        <v>625</v>
      </c>
      <c r="K31" s="10">
        <f t="shared" si="2"/>
        <v>50.362610797743756</v>
      </c>
      <c r="L31" s="107">
        <v>739</v>
      </c>
      <c r="M31" s="107">
        <v>286</v>
      </c>
      <c r="N31" s="7">
        <f t="shared" si="0"/>
        <v>38.700947225981054</v>
      </c>
    </row>
    <row r="32" spans="2:29" x14ac:dyDescent="0.25">
      <c r="B32" s="176" t="s">
        <v>37</v>
      </c>
      <c r="C32" s="106">
        <v>5318</v>
      </c>
      <c r="D32" s="107">
        <v>2669</v>
      </c>
      <c r="E32" s="7">
        <f t="shared" si="3"/>
        <v>50.188040616773222</v>
      </c>
      <c r="F32" s="106">
        <v>1146</v>
      </c>
      <c r="G32" s="107">
        <v>625</v>
      </c>
      <c r="H32" s="10">
        <f>G32/F32*100</f>
        <v>54.537521815008731</v>
      </c>
      <c r="I32" s="107">
        <f t="shared" si="4"/>
        <v>2846</v>
      </c>
      <c r="J32" s="107">
        <f t="shared" si="1"/>
        <v>1537</v>
      </c>
      <c r="K32" s="10">
        <f t="shared" si="2"/>
        <v>54.005621925509487</v>
      </c>
      <c r="L32" s="107">
        <v>1326</v>
      </c>
      <c r="M32" s="107">
        <v>507</v>
      </c>
      <c r="N32" s="7">
        <f t="shared" si="0"/>
        <v>38.235294117647058</v>
      </c>
    </row>
    <row r="33" spans="2:14" ht="15.75" thickBot="1" x14ac:dyDescent="0.3">
      <c r="B33" s="177" t="s">
        <v>38</v>
      </c>
      <c r="C33" s="108">
        <v>1167</v>
      </c>
      <c r="D33" s="110">
        <v>544</v>
      </c>
      <c r="E33" s="8">
        <f t="shared" si="3"/>
        <v>46.615252784918596</v>
      </c>
      <c r="F33" s="108">
        <v>251</v>
      </c>
      <c r="G33" s="110">
        <v>104</v>
      </c>
      <c r="H33" s="47">
        <f>G33/F33*100</f>
        <v>41.43426294820717</v>
      </c>
      <c r="I33" s="110">
        <f t="shared" si="4"/>
        <v>583</v>
      </c>
      <c r="J33" s="110">
        <f t="shared" si="1"/>
        <v>316</v>
      </c>
      <c r="K33" s="47">
        <f t="shared" si="2"/>
        <v>54.202401372212691</v>
      </c>
      <c r="L33" s="110">
        <v>333</v>
      </c>
      <c r="M33" s="110">
        <v>124</v>
      </c>
      <c r="N33" s="8">
        <f t="shared" si="0"/>
        <v>37.237237237237238</v>
      </c>
    </row>
    <row r="34" spans="2:14" ht="13.5" customHeight="1" x14ac:dyDescent="0.25">
      <c r="B34" s="664" t="s">
        <v>492</v>
      </c>
      <c r="C34" s="664"/>
      <c r="D34" s="664"/>
      <c r="E34" s="664"/>
      <c r="F34" s="664"/>
      <c r="G34" s="664"/>
      <c r="H34" s="664"/>
      <c r="I34" s="664"/>
      <c r="J34" s="664"/>
      <c r="K34" s="664"/>
      <c r="L34" s="664"/>
      <c r="M34" s="664"/>
      <c r="N34" s="664"/>
    </row>
    <row r="35" spans="2:14" ht="14.25" customHeight="1" x14ac:dyDescent="0.25">
      <c r="B35" s="668" t="s">
        <v>491</v>
      </c>
      <c r="C35" s="665"/>
      <c r="D35" s="665"/>
      <c r="E35" s="665"/>
      <c r="F35" s="665"/>
      <c r="G35" s="665"/>
      <c r="H35" s="665"/>
      <c r="I35" s="665"/>
      <c r="J35" s="665"/>
      <c r="K35" s="665"/>
      <c r="L35" s="665"/>
      <c r="M35" s="665"/>
      <c r="N35" s="665"/>
    </row>
  </sheetData>
  <mergeCells count="15">
    <mergeCell ref="J6:K6"/>
    <mergeCell ref="L6:L7"/>
    <mergeCell ref="M6:N6"/>
    <mergeCell ref="B3:B7"/>
    <mergeCell ref="C3:N3"/>
    <mergeCell ref="C4:E5"/>
    <mergeCell ref="F4:N4"/>
    <mergeCell ref="F5:H5"/>
    <mergeCell ref="I5:K5"/>
    <mergeCell ref="L5:N5"/>
    <mergeCell ref="C6:C7"/>
    <mergeCell ref="D6:E6"/>
    <mergeCell ref="F6:F7"/>
    <mergeCell ref="G6:H6"/>
    <mergeCell ref="I6:I7"/>
  </mergeCells>
  <printOptions horizontalCentered="1" verticalCentered="1"/>
  <pageMargins left="0" right="0" top="1.0236220472440944" bottom="0" header="0" footer="0"/>
  <pageSetup paperSize="9" scale="5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  <pageSetUpPr fitToPage="1"/>
  </sheetPr>
  <dimension ref="B1:T69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28515625" style="77" customWidth="1"/>
    <col min="2" max="2" width="23.42578125" style="77" customWidth="1"/>
    <col min="3" max="3" width="15.42578125" style="77" customWidth="1"/>
    <col min="4" max="4" width="15.85546875" style="77" customWidth="1"/>
    <col min="5" max="5" width="14.7109375" style="77" customWidth="1"/>
    <col min="6" max="6" width="14.42578125" style="77" customWidth="1"/>
    <col min="7" max="7" width="15.42578125" style="77" customWidth="1"/>
    <col min="8" max="8" width="15.85546875" style="77" customWidth="1"/>
    <col min="9" max="9" width="15.28515625" style="77" customWidth="1"/>
    <col min="10" max="10" width="14" style="77" customWidth="1"/>
    <col min="11" max="11" width="9.140625" style="77"/>
    <col min="12" max="12" width="10.85546875" style="77" customWidth="1"/>
    <col min="13" max="13" width="11.5703125" style="77" customWidth="1"/>
    <col min="14" max="14" width="10.140625" style="77" customWidth="1"/>
    <col min="15" max="15" width="11.5703125" style="77" customWidth="1"/>
    <col min="16" max="16" width="11.28515625" style="77" customWidth="1"/>
    <col min="17" max="17" width="9.140625" style="77"/>
    <col min="18" max="18" width="11.28515625" style="77" customWidth="1"/>
    <col min="19" max="19" width="10.5703125" style="77" customWidth="1"/>
    <col min="20" max="20" width="9.140625" style="77"/>
    <col min="21" max="21" width="15.28515625" style="77" customWidth="1"/>
    <col min="22" max="22" width="16" style="77" customWidth="1"/>
    <col min="23" max="23" width="14.42578125" style="77" customWidth="1"/>
    <col min="24" max="24" width="15.140625" style="77" customWidth="1"/>
    <col min="25" max="25" width="15.5703125" style="77" customWidth="1"/>
    <col min="26" max="26" width="15.28515625" style="77" customWidth="1"/>
    <col min="27" max="27" width="15.5703125" style="77" customWidth="1"/>
    <col min="28" max="28" width="15.28515625" style="77" customWidth="1"/>
    <col min="29" max="16384" width="9.140625" style="77"/>
  </cols>
  <sheetData>
    <row r="1" spans="2:20" x14ac:dyDescent="0.25">
      <c r="B1" s="11" t="s">
        <v>461</v>
      </c>
      <c r="C1" s="11"/>
      <c r="D1" s="11"/>
      <c r="E1" s="11"/>
      <c r="F1" s="11"/>
      <c r="G1" s="11"/>
      <c r="H1" s="11"/>
    </row>
    <row r="2" spans="2:20" ht="15.75" thickBot="1" x14ac:dyDescent="0.3">
      <c r="B2" s="11" t="s">
        <v>451</v>
      </c>
      <c r="C2" s="11"/>
      <c r="D2" s="11"/>
      <c r="E2" s="11"/>
      <c r="F2" s="11"/>
      <c r="G2" s="11"/>
      <c r="H2" s="11"/>
    </row>
    <row r="3" spans="2:20" ht="17.25" customHeight="1" x14ac:dyDescent="0.25">
      <c r="B3" s="1019" t="s">
        <v>95</v>
      </c>
      <c r="C3" s="648"/>
      <c r="D3" s="647"/>
      <c r="E3" s="647" t="s">
        <v>417</v>
      </c>
      <c r="F3" s="647"/>
      <c r="G3" s="649"/>
      <c r="H3" s="650"/>
      <c r="I3" s="648"/>
      <c r="J3" s="647"/>
      <c r="K3" s="647" t="s">
        <v>478</v>
      </c>
      <c r="L3" s="647"/>
      <c r="M3" s="649"/>
      <c r="N3" s="650"/>
      <c r="O3" s="649"/>
      <c r="P3" s="651"/>
      <c r="Q3" s="651" t="s">
        <v>508</v>
      </c>
      <c r="R3" s="651"/>
      <c r="S3" s="649"/>
      <c r="T3" s="650"/>
    </row>
    <row r="4" spans="2:20" ht="21" customHeight="1" thickBot="1" x14ac:dyDescent="0.3">
      <c r="B4" s="1110"/>
      <c r="C4" s="1111" t="s">
        <v>222</v>
      </c>
      <c r="D4" s="1112"/>
      <c r="E4" s="1112"/>
      <c r="F4" s="1112"/>
      <c r="G4" s="1112"/>
      <c r="H4" s="1113"/>
      <c r="I4" s="1111" t="s">
        <v>222</v>
      </c>
      <c r="J4" s="1112"/>
      <c r="K4" s="1112"/>
      <c r="L4" s="1112"/>
      <c r="M4" s="1112"/>
      <c r="N4" s="1113"/>
      <c r="O4" s="1096" t="s">
        <v>222</v>
      </c>
      <c r="P4" s="1097"/>
      <c r="Q4" s="1097"/>
      <c r="R4" s="1097"/>
      <c r="S4" s="1097"/>
      <c r="T4" s="1098"/>
    </row>
    <row r="5" spans="2:20" ht="17.25" customHeight="1" x14ac:dyDescent="0.25">
      <c r="B5" s="1110"/>
      <c r="C5" s="1095" t="s">
        <v>144</v>
      </c>
      <c r="D5" s="1114"/>
      <c r="E5" s="1114"/>
      <c r="F5" s="1101" t="s">
        <v>145</v>
      </c>
      <c r="G5" s="1102"/>
      <c r="H5" s="1103"/>
      <c r="I5" s="1095" t="s">
        <v>144</v>
      </c>
      <c r="J5" s="1114"/>
      <c r="K5" s="1114"/>
      <c r="L5" s="1101" t="s">
        <v>145</v>
      </c>
      <c r="M5" s="1102"/>
      <c r="N5" s="1103"/>
      <c r="O5" s="1099" t="s">
        <v>144</v>
      </c>
      <c r="P5" s="1100"/>
      <c r="Q5" s="1100"/>
      <c r="R5" s="1101" t="s">
        <v>145</v>
      </c>
      <c r="S5" s="1102"/>
      <c r="T5" s="1103"/>
    </row>
    <row r="6" spans="2:20" ht="18" customHeight="1" x14ac:dyDescent="0.25">
      <c r="B6" s="1110"/>
      <c r="C6" s="1017" t="s">
        <v>4</v>
      </c>
      <c r="D6" s="1106" t="s">
        <v>92</v>
      </c>
      <c r="E6" s="1106"/>
      <c r="F6" s="1115" t="s">
        <v>4</v>
      </c>
      <c r="G6" s="1106" t="s">
        <v>92</v>
      </c>
      <c r="H6" s="1109"/>
      <c r="I6" s="1017" t="s">
        <v>4</v>
      </c>
      <c r="J6" s="1106" t="s">
        <v>92</v>
      </c>
      <c r="K6" s="1106"/>
      <c r="L6" s="1115" t="s">
        <v>4</v>
      </c>
      <c r="M6" s="1106" t="s">
        <v>92</v>
      </c>
      <c r="N6" s="1109"/>
      <c r="O6" s="1104" t="s">
        <v>4</v>
      </c>
      <c r="P6" s="1106" t="s">
        <v>92</v>
      </c>
      <c r="Q6" s="1106"/>
      <c r="R6" s="1107" t="s">
        <v>4</v>
      </c>
      <c r="S6" s="1106" t="s">
        <v>92</v>
      </c>
      <c r="T6" s="1109"/>
    </row>
    <row r="7" spans="2:20" ht="15.75" thickBot="1" x14ac:dyDescent="0.3">
      <c r="B7" s="1032"/>
      <c r="C7" s="1018"/>
      <c r="D7" s="646" t="s">
        <v>99</v>
      </c>
      <c r="E7" s="646" t="s">
        <v>347</v>
      </c>
      <c r="F7" s="1072"/>
      <c r="G7" s="646" t="s">
        <v>99</v>
      </c>
      <c r="H7" s="660" t="s">
        <v>347</v>
      </c>
      <c r="I7" s="1018"/>
      <c r="J7" s="646" t="s">
        <v>99</v>
      </c>
      <c r="K7" s="646" t="s">
        <v>347</v>
      </c>
      <c r="L7" s="1072"/>
      <c r="M7" s="646" t="s">
        <v>99</v>
      </c>
      <c r="N7" s="660" t="s">
        <v>347</v>
      </c>
      <c r="O7" s="1105"/>
      <c r="P7" s="646" t="s">
        <v>99</v>
      </c>
      <c r="Q7" s="646" t="s">
        <v>347</v>
      </c>
      <c r="R7" s="1108"/>
      <c r="S7" s="646" t="s">
        <v>99</v>
      </c>
      <c r="T7" s="660" t="s">
        <v>347</v>
      </c>
    </row>
    <row r="8" spans="2:20" ht="26.25" customHeight="1" thickBot="1" x14ac:dyDescent="0.3">
      <c r="B8" s="254" t="s">
        <v>13</v>
      </c>
      <c r="C8" s="255">
        <f>SUM(C9:C33)</f>
        <v>16095</v>
      </c>
      <c r="D8" s="256">
        <f>SUM(D9:D33)</f>
        <v>8533</v>
      </c>
      <c r="E8" s="280">
        <f>D8/C8*100</f>
        <v>53.016464740602679</v>
      </c>
      <c r="F8" s="669">
        <f>SUM(F9:F33)</f>
        <v>15721</v>
      </c>
      <c r="G8" s="256">
        <f>SUM(G9:G33)</f>
        <v>5812</v>
      </c>
      <c r="H8" s="257">
        <f>G8/F8*100</f>
        <v>36.969658418675657</v>
      </c>
      <c r="I8" s="255">
        <f>SUM(I9:I33)</f>
        <v>17915</v>
      </c>
      <c r="J8" s="256">
        <f>SUM(J9:J33)</f>
        <v>9327</v>
      </c>
      <c r="K8" s="280">
        <f>J8/I8*100</f>
        <v>52.062517443483117</v>
      </c>
      <c r="L8" s="669">
        <f>SUM(L9:L33)</f>
        <v>16634</v>
      </c>
      <c r="M8" s="256">
        <f>SUM(M9:M33)</f>
        <v>6159</v>
      </c>
      <c r="N8" s="257">
        <f>M8/L8*100</f>
        <v>37.026572081279305</v>
      </c>
      <c r="O8" s="255">
        <f>SUM(O9:O33)</f>
        <v>19372</v>
      </c>
      <c r="P8" s="256">
        <f>SUM(P9:P33)</f>
        <v>9718</v>
      </c>
      <c r="Q8" s="280">
        <f>P8/O8*100</f>
        <v>50.165186867644017</v>
      </c>
      <c r="R8" s="669">
        <f>SUM(R9:R33)</f>
        <v>17613</v>
      </c>
      <c r="S8" s="256">
        <f>SUM(S9:S33)</f>
        <v>6524</v>
      </c>
      <c r="T8" s="257">
        <f>S8/R8*100</f>
        <v>37.040822120024977</v>
      </c>
    </row>
    <row r="9" spans="2:20" ht="15.75" thickTop="1" x14ac:dyDescent="0.25">
      <c r="B9" s="174" t="s">
        <v>14</v>
      </c>
      <c r="C9" s="178">
        <v>267</v>
      </c>
      <c r="D9" s="179">
        <v>139</v>
      </c>
      <c r="E9" s="251">
        <f>D9/C9*100</f>
        <v>52.059925093632963</v>
      </c>
      <c r="F9" s="375">
        <v>232</v>
      </c>
      <c r="G9" s="179">
        <v>78</v>
      </c>
      <c r="H9" s="54">
        <f t="shared" ref="H9:H33" si="0">G9/F9*100</f>
        <v>33.620689655172413</v>
      </c>
      <c r="I9" s="178">
        <v>316</v>
      </c>
      <c r="J9" s="179">
        <v>167</v>
      </c>
      <c r="K9" s="251">
        <f>J9/I9*100</f>
        <v>52.848101265822791</v>
      </c>
      <c r="L9" s="375">
        <v>247</v>
      </c>
      <c r="M9" s="179">
        <v>84</v>
      </c>
      <c r="N9" s="54">
        <f t="shared" ref="N9:N12" si="1">M9/L9*100</f>
        <v>34.008097165991899</v>
      </c>
      <c r="O9" s="178">
        <v>288</v>
      </c>
      <c r="P9" s="179">
        <v>158</v>
      </c>
      <c r="Q9" s="251">
        <f>P9/O9*100</f>
        <v>54.861111111111114</v>
      </c>
      <c r="R9" s="375">
        <v>253</v>
      </c>
      <c r="S9" s="179">
        <v>80</v>
      </c>
      <c r="T9" s="54">
        <f t="shared" ref="T9:T12" si="2">S9/R9*100</f>
        <v>31.620553359683797</v>
      </c>
    </row>
    <row r="10" spans="2:20" x14ac:dyDescent="0.25">
      <c r="B10" s="175" t="s">
        <v>15</v>
      </c>
      <c r="C10" s="50">
        <v>856</v>
      </c>
      <c r="D10" s="9">
        <v>410</v>
      </c>
      <c r="E10" s="10">
        <f>D10/C10*100</f>
        <v>47.897196261682247</v>
      </c>
      <c r="F10" s="6">
        <v>852</v>
      </c>
      <c r="G10" s="9">
        <v>371</v>
      </c>
      <c r="H10" s="7">
        <f t="shared" si="0"/>
        <v>43.544600938967136</v>
      </c>
      <c r="I10" s="50">
        <v>1035</v>
      </c>
      <c r="J10" s="9">
        <v>457</v>
      </c>
      <c r="K10" s="10">
        <f>J10/I10*100</f>
        <v>44.154589371980677</v>
      </c>
      <c r="L10" s="6">
        <v>903</v>
      </c>
      <c r="M10" s="9">
        <v>381</v>
      </c>
      <c r="N10" s="7">
        <f t="shared" si="1"/>
        <v>42.192691029900331</v>
      </c>
      <c r="O10" s="50">
        <v>1030</v>
      </c>
      <c r="P10" s="9">
        <v>451</v>
      </c>
      <c r="Q10" s="10">
        <f>P10/O10*100</f>
        <v>43.786407766990294</v>
      </c>
      <c r="R10" s="6">
        <v>902</v>
      </c>
      <c r="S10" s="9">
        <v>387</v>
      </c>
      <c r="T10" s="7">
        <f t="shared" si="2"/>
        <v>42.90465631929046</v>
      </c>
    </row>
    <row r="11" spans="2:20" x14ac:dyDescent="0.25">
      <c r="B11" s="175" t="s">
        <v>16</v>
      </c>
      <c r="C11" s="50">
        <v>652</v>
      </c>
      <c r="D11" s="9">
        <v>419</v>
      </c>
      <c r="E11" s="10">
        <f>D11/C11*100</f>
        <v>64.263803680981596</v>
      </c>
      <c r="F11" s="6">
        <v>533</v>
      </c>
      <c r="G11" s="9">
        <v>214</v>
      </c>
      <c r="H11" s="7">
        <f t="shared" si="0"/>
        <v>40.150093808630395</v>
      </c>
      <c r="I11" s="50">
        <v>710</v>
      </c>
      <c r="J11" s="9">
        <v>451</v>
      </c>
      <c r="K11" s="10">
        <f>J11/I11*100</f>
        <v>63.521126760563384</v>
      </c>
      <c r="L11" s="6">
        <v>528</v>
      </c>
      <c r="M11" s="9">
        <v>221</v>
      </c>
      <c r="N11" s="7">
        <f t="shared" si="1"/>
        <v>41.856060606060609</v>
      </c>
      <c r="O11" s="50">
        <v>910</v>
      </c>
      <c r="P11" s="9">
        <v>517</v>
      </c>
      <c r="Q11" s="10">
        <f>P11/O11*100</f>
        <v>56.81318681318681</v>
      </c>
      <c r="R11" s="6">
        <v>578</v>
      </c>
      <c r="S11" s="9">
        <v>241</v>
      </c>
      <c r="T11" s="7">
        <f t="shared" si="2"/>
        <v>41.695501730103807</v>
      </c>
    </row>
    <row r="12" spans="2:20" x14ac:dyDescent="0.25">
      <c r="B12" s="175" t="s">
        <v>17</v>
      </c>
      <c r="C12" s="50">
        <v>1044</v>
      </c>
      <c r="D12" s="9">
        <v>566</v>
      </c>
      <c r="E12" s="10">
        <f>D12/C12*100</f>
        <v>54.214559386973185</v>
      </c>
      <c r="F12" s="6">
        <v>1068</v>
      </c>
      <c r="G12" s="9">
        <v>373</v>
      </c>
      <c r="H12" s="7">
        <f t="shared" si="0"/>
        <v>34.925093632958806</v>
      </c>
      <c r="I12" s="50">
        <v>1195</v>
      </c>
      <c r="J12" s="9">
        <v>618</v>
      </c>
      <c r="K12" s="10">
        <f>J12/I12*100</f>
        <v>51.71548117154812</v>
      </c>
      <c r="L12" s="6">
        <v>1102</v>
      </c>
      <c r="M12" s="9">
        <v>407</v>
      </c>
      <c r="N12" s="7">
        <f t="shared" si="1"/>
        <v>36.932849364791288</v>
      </c>
      <c r="O12" s="50">
        <v>1207</v>
      </c>
      <c r="P12" s="9">
        <v>639</v>
      </c>
      <c r="Q12" s="10">
        <f>P12/O12*100</f>
        <v>52.941176470588239</v>
      </c>
      <c r="R12" s="6">
        <v>1165</v>
      </c>
      <c r="S12" s="9">
        <v>435</v>
      </c>
      <c r="T12" s="7">
        <f t="shared" si="2"/>
        <v>37.339055793991413</v>
      </c>
    </row>
    <row r="13" spans="2:20" x14ac:dyDescent="0.25">
      <c r="B13" s="175" t="s">
        <v>18</v>
      </c>
      <c r="C13" s="50">
        <v>1151</v>
      </c>
      <c r="D13" s="9">
        <v>684</v>
      </c>
      <c r="E13" s="10">
        <f t="shared" ref="E13:E31" si="3">D13/C13*100</f>
        <v>59.426585577758473</v>
      </c>
      <c r="F13" s="6">
        <v>1061</v>
      </c>
      <c r="G13" s="9">
        <v>493</v>
      </c>
      <c r="H13" s="7">
        <f>G13/F13*100</f>
        <v>46.465598491988693</v>
      </c>
      <c r="I13" s="50">
        <v>1284</v>
      </c>
      <c r="J13" s="9">
        <v>744</v>
      </c>
      <c r="K13" s="10">
        <f t="shared" ref="K13:K15" si="4">J13/I13*100</f>
        <v>57.943925233644855</v>
      </c>
      <c r="L13" s="6">
        <v>1157</v>
      </c>
      <c r="M13" s="9">
        <v>494</v>
      </c>
      <c r="N13" s="7">
        <f>M13/L13*100</f>
        <v>42.696629213483142</v>
      </c>
      <c r="O13" s="50">
        <v>1404</v>
      </c>
      <c r="P13" s="9">
        <v>755</v>
      </c>
      <c r="Q13" s="10">
        <f t="shared" ref="Q13:Q15" si="5">P13/O13*100</f>
        <v>53.774928774928775</v>
      </c>
      <c r="R13" s="6">
        <v>1190</v>
      </c>
      <c r="S13" s="9">
        <v>509</v>
      </c>
      <c r="T13" s="7">
        <f>S13/R13*100</f>
        <v>42.773109243697476</v>
      </c>
    </row>
    <row r="14" spans="2:20" x14ac:dyDescent="0.25">
      <c r="B14" s="175" t="s">
        <v>19</v>
      </c>
      <c r="C14" s="50">
        <v>411</v>
      </c>
      <c r="D14" s="9">
        <v>204</v>
      </c>
      <c r="E14" s="10">
        <f t="shared" si="3"/>
        <v>49.635036496350367</v>
      </c>
      <c r="F14" s="6">
        <v>409</v>
      </c>
      <c r="G14" s="9">
        <v>115</v>
      </c>
      <c r="H14" s="7">
        <f t="shared" si="0"/>
        <v>28.117359413202937</v>
      </c>
      <c r="I14" s="50">
        <v>431</v>
      </c>
      <c r="J14" s="9">
        <v>211</v>
      </c>
      <c r="K14" s="10">
        <f t="shared" si="4"/>
        <v>48.95591647331787</v>
      </c>
      <c r="L14" s="6">
        <v>416</v>
      </c>
      <c r="M14" s="9">
        <v>123</v>
      </c>
      <c r="N14" s="7">
        <f t="shared" ref="N14" si="6">M14/L14*100</f>
        <v>29.567307692307693</v>
      </c>
      <c r="O14" s="50">
        <v>509</v>
      </c>
      <c r="P14" s="9">
        <v>244</v>
      </c>
      <c r="Q14" s="10">
        <f t="shared" si="5"/>
        <v>47.937131630648331</v>
      </c>
      <c r="R14" s="6">
        <v>435</v>
      </c>
      <c r="S14" s="9">
        <v>132</v>
      </c>
      <c r="T14" s="7">
        <f t="shared" ref="T14" si="7">S14/R14*100</f>
        <v>30.344827586206897</v>
      </c>
    </row>
    <row r="15" spans="2:20" x14ac:dyDescent="0.25">
      <c r="B15" s="175" t="s">
        <v>20</v>
      </c>
      <c r="C15" s="50">
        <v>527</v>
      </c>
      <c r="D15" s="9">
        <v>326</v>
      </c>
      <c r="E15" s="10">
        <f t="shared" si="3"/>
        <v>61.859582542694504</v>
      </c>
      <c r="F15" s="6">
        <v>577</v>
      </c>
      <c r="G15" s="9">
        <v>239</v>
      </c>
      <c r="H15" s="7">
        <f>G15/F15*100</f>
        <v>41.421143847487002</v>
      </c>
      <c r="I15" s="50">
        <v>641</v>
      </c>
      <c r="J15" s="9">
        <v>410</v>
      </c>
      <c r="K15" s="10">
        <f t="shared" si="4"/>
        <v>63.962558502340094</v>
      </c>
      <c r="L15" s="6">
        <v>606</v>
      </c>
      <c r="M15" s="9">
        <v>238</v>
      </c>
      <c r="N15" s="7">
        <f>M15/L15*100</f>
        <v>39.273927392739274</v>
      </c>
      <c r="O15" s="50">
        <v>695</v>
      </c>
      <c r="P15" s="9">
        <v>391</v>
      </c>
      <c r="Q15" s="10">
        <f t="shared" si="5"/>
        <v>56.258992805755391</v>
      </c>
      <c r="R15" s="6">
        <v>695</v>
      </c>
      <c r="S15" s="9">
        <v>269</v>
      </c>
      <c r="T15" s="7">
        <f>S15/R15*100</f>
        <v>38.705035971223026</v>
      </c>
    </row>
    <row r="16" spans="2:20" x14ac:dyDescent="0.25">
      <c r="B16" s="175" t="s">
        <v>21</v>
      </c>
      <c r="C16" s="50">
        <v>378</v>
      </c>
      <c r="D16" s="9">
        <v>185</v>
      </c>
      <c r="E16" s="10">
        <f>D16/C16*100</f>
        <v>48.941798941798943</v>
      </c>
      <c r="F16" s="6">
        <v>395</v>
      </c>
      <c r="G16" s="9">
        <v>119</v>
      </c>
      <c r="H16" s="7">
        <f>G16/F16*100</f>
        <v>30.126582278481013</v>
      </c>
      <c r="I16" s="50">
        <v>440</v>
      </c>
      <c r="J16" s="9">
        <v>224</v>
      </c>
      <c r="K16" s="10">
        <f>J16/I16*100</f>
        <v>50.909090909090907</v>
      </c>
      <c r="L16" s="6">
        <v>455</v>
      </c>
      <c r="M16" s="9">
        <v>152</v>
      </c>
      <c r="N16" s="7">
        <f>M16/L16*100</f>
        <v>33.406593406593402</v>
      </c>
      <c r="O16" s="50">
        <v>426</v>
      </c>
      <c r="P16" s="9">
        <v>201</v>
      </c>
      <c r="Q16" s="10">
        <f>P16/O16*100</f>
        <v>47.183098591549296</v>
      </c>
      <c r="R16" s="6">
        <v>460</v>
      </c>
      <c r="S16" s="9">
        <v>163</v>
      </c>
      <c r="T16" s="7">
        <f>S16/R16*100</f>
        <v>35.434782608695656</v>
      </c>
    </row>
    <row r="17" spans="2:20" x14ac:dyDescent="0.25">
      <c r="B17" s="175" t="s">
        <v>22</v>
      </c>
      <c r="C17" s="50">
        <v>755</v>
      </c>
      <c r="D17" s="9">
        <v>395</v>
      </c>
      <c r="E17" s="10">
        <f t="shared" si="3"/>
        <v>52.317880794701985</v>
      </c>
      <c r="F17" s="6">
        <v>655</v>
      </c>
      <c r="G17" s="9">
        <v>255</v>
      </c>
      <c r="H17" s="7">
        <f>G17/F17*100</f>
        <v>38.931297709923662</v>
      </c>
      <c r="I17" s="50">
        <v>882</v>
      </c>
      <c r="J17" s="9">
        <v>444</v>
      </c>
      <c r="K17" s="10">
        <f t="shared" ref="K17:K18" si="8">J17/I17*100</f>
        <v>50.34013605442177</v>
      </c>
      <c r="L17" s="6">
        <v>679</v>
      </c>
      <c r="M17" s="9">
        <v>259</v>
      </c>
      <c r="N17" s="7">
        <f>M17/L17*100</f>
        <v>38.144329896907216</v>
      </c>
      <c r="O17" s="50">
        <v>835</v>
      </c>
      <c r="P17" s="9">
        <v>400</v>
      </c>
      <c r="Q17" s="10">
        <f t="shared" ref="Q17:Q18" si="9">P17/O17*100</f>
        <v>47.904191616766468</v>
      </c>
      <c r="R17" s="6">
        <v>674</v>
      </c>
      <c r="S17" s="9">
        <v>283</v>
      </c>
      <c r="T17" s="7">
        <f>S17/R17*100</f>
        <v>41.988130563798222</v>
      </c>
    </row>
    <row r="18" spans="2:20" x14ac:dyDescent="0.25">
      <c r="B18" s="175" t="s">
        <v>23</v>
      </c>
      <c r="C18" s="50">
        <v>418</v>
      </c>
      <c r="D18" s="9">
        <v>215</v>
      </c>
      <c r="E18" s="10">
        <f t="shared" si="3"/>
        <v>51.435406698564591</v>
      </c>
      <c r="F18" s="6">
        <v>448</v>
      </c>
      <c r="G18" s="9">
        <v>157</v>
      </c>
      <c r="H18" s="7">
        <f>G18/F18*100</f>
        <v>35.044642857142854</v>
      </c>
      <c r="I18" s="50">
        <v>495</v>
      </c>
      <c r="J18" s="9">
        <v>268</v>
      </c>
      <c r="K18" s="10">
        <f t="shared" si="8"/>
        <v>54.141414141414145</v>
      </c>
      <c r="L18" s="6">
        <v>470</v>
      </c>
      <c r="M18" s="9">
        <v>161</v>
      </c>
      <c r="N18" s="7">
        <f>M18/L18*100</f>
        <v>34.255319148936167</v>
      </c>
      <c r="O18" s="50">
        <v>524</v>
      </c>
      <c r="P18" s="9">
        <v>256</v>
      </c>
      <c r="Q18" s="10">
        <f t="shared" si="9"/>
        <v>48.854961832061065</v>
      </c>
      <c r="R18" s="6">
        <v>478</v>
      </c>
      <c r="S18" s="9">
        <v>149</v>
      </c>
      <c r="T18" s="7">
        <f>S18/R18*100</f>
        <v>31.171548117154813</v>
      </c>
    </row>
    <row r="19" spans="2:20" x14ac:dyDescent="0.25">
      <c r="B19" s="175" t="s">
        <v>24</v>
      </c>
      <c r="C19" s="50">
        <v>718</v>
      </c>
      <c r="D19" s="9">
        <v>361</v>
      </c>
      <c r="E19" s="10">
        <f>D19/C19*100</f>
        <v>50.278551532033418</v>
      </c>
      <c r="F19" s="6">
        <v>538</v>
      </c>
      <c r="G19" s="9">
        <v>175</v>
      </c>
      <c r="H19" s="7">
        <f t="shared" si="0"/>
        <v>32.52788104089219</v>
      </c>
      <c r="I19" s="50">
        <v>765</v>
      </c>
      <c r="J19" s="9">
        <v>369</v>
      </c>
      <c r="K19" s="10">
        <f>J19/I19*100</f>
        <v>48.235294117647058</v>
      </c>
      <c r="L19" s="6">
        <v>599</v>
      </c>
      <c r="M19" s="9">
        <v>209</v>
      </c>
      <c r="N19" s="7">
        <f t="shared" ref="N19:N33" si="10">M19/L19*100</f>
        <v>34.891485809682806</v>
      </c>
      <c r="O19" s="50">
        <v>789</v>
      </c>
      <c r="P19" s="9">
        <v>380</v>
      </c>
      <c r="Q19" s="10">
        <f>P19/O19*100</f>
        <v>48.162230671736374</v>
      </c>
      <c r="R19" s="6">
        <v>611</v>
      </c>
      <c r="S19" s="9">
        <v>196</v>
      </c>
      <c r="T19" s="7">
        <f t="shared" ref="T19:T33" si="11">S19/R19*100</f>
        <v>32.078559738134203</v>
      </c>
    </row>
    <row r="20" spans="2:20" x14ac:dyDescent="0.25">
      <c r="B20" s="175" t="s">
        <v>25</v>
      </c>
      <c r="C20" s="50">
        <v>717</v>
      </c>
      <c r="D20" s="9">
        <v>394</v>
      </c>
      <c r="E20" s="10">
        <f t="shared" si="3"/>
        <v>54.951185495118551</v>
      </c>
      <c r="F20" s="6">
        <v>706</v>
      </c>
      <c r="G20" s="9">
        <v>233</v>
      </c>
      <c r="H20" s="7">
        <f t="shared" si="0"/>
        <v>33.002832861189802</v>
      </c>
      <c r="I20" s="50">
        <v>832</v>
      </c>
      <c r="J20" s="9">
        <v>443</v>
      </c>
      <c r="K20" s="10">
        <f t="shared" ref="K20:K22" si="12">J20/I20*100</f>
        <v>53.245192307692314</v>
      </c>
      <c r="L20" s="6">
        <v>756</v>
      </c>
      <c r="M20" s="9">
        <v>261</v>
      </c>
      <c r="N20" s="7">
        <f t="shared" si="10"/>
        <v>34.523809523809526</v>
      </c>
      <c r="O20" s="50">
        <v>945</v>
      </c>
      <c r="P20" s="9">
        <v>456</v>
      </c>
      <c r="Q20" s="10">
        <f t="shared" ref="Q20:Q22" si="13">P20/O20*100</f>
        <v>48.253968253968253</v>
      </c>
      <c r="R20" s="6">
        <v>853</v>
      </c>
      <c r="S20" s="9">
        <v>303</v>
      </c>
      <c r="T20" s="7">
        <f t="shared" si="11"/>
        <v>35.521688159437282</v>
      </c>
    </row>
    <row r="21" spans="2:20" x14ac:dyDescent="0.25">
      <c r="B21" s="175" t="s">
        <v>26</v>
      </c>
      <c r="C21" s="50">
        <v>709</v>
      </c>
      <c r="D21" s="9">
        <v>340</v>
      </c>
      <c r="E21" s="10">
        <f t="shared" si="3"/>
        <v>47.954866008462623</v>
      </c>
      <c r="F21" s="6">
        <v>661</v>
      </c>
      <c r="G21" s="9">
        <v>248</v>
      </c>
      <c r="H21" s="7">
        <f t="shared" si="0"/>
        <v>37.518910741301056</v>
      </c>
      <c r="I21" s="50">
        <v>791</v>
      </c>
      <c r="J21" s="9">
        <v>377</v>
      </c>
      <c r="K21" s="10">
        <f t="shared" si="12"/>
        <v>47.661188369152974</v>
      </c>
      <c r="L21" s="6">
        <v>695</v>
      </c>
      <c r="M21" s="9">
        <v>257</v>
      </c>
      <c r="N21" s="7">
        <f t="shared" si="10"/>
        <v>36.978417266187051</v>
      </c>
      <c r="O21" s="50">
        <v>785</v>
      </c>
      <c r="P21" s="9">
        <v>377</v>
      </c>
      <c r="Q21" s="10">
        <f t="shared" si="13"/>
        <v>48.025477707006367</v>
      </c>
      <c r="R21" s="6">
        <v>702</v>
      </c>
      <c r="S21" s="9">
        <v>262</v>
      </c>
      <c r="T21" s="7">
        <f t="shared" si="11"/>
        <v>37.32193732193732</v>
      </c>
    </row>
    <row r="22" spans="2:20" x14ac:dyDescent="0.25">
      <c r="B22" s="176" t="s">
        <v>27</v>
      </c>
      <c r="C22" s="106">
        <v>729</v>
      </c>
      <c r="D22" s="107">
        <v>386</v>
      </c>
      <c r="E22" s="10">
        <f t="shared" si="3"/>
        <v>52.949245541838131</v>
      </c>
      <c r="F22" s="404">
        <v>674</v>
      </c>
      <c r="G22" s="107">
        <v>232</v>
      </c>
      <c r="H22" s="7">
        <f t="shared" si="0"/>
        <v>34.421364985163208</v>
      </c>
      <c r="I22" s="106">
        <v>789</v>
      </c>
      <c r="J22" s="107">
        <v>420</v>
      </c>
      <c r="K22" s="10">
        <f t="shared" si="12"/>
        <v>53.231939163498097</v>
      </c>
      <c r="L22" s="404">
        <v>732</v>
      </c>
      <c r="M22" s="107">
        <v>244</v>
      </c>
      <c r="N22" s="7">
        <f t="shared" si="10"/>
        <v>33.333333333333329</v>
      </c>
      <c r="O22" s="106">
        <v>853</v>
      </c>
      <c r="P22" s="107">
        <v>403</v>
      </c>
      <c r="Q22" s="10">
        <f t="shared" si="13"/>
        <v>47.245017584994137</v>
      </c>
      <c r="R22" s="404">
        <v>749</v>
      </c>
      <c r="S22" s="107">
        <v>246</v>
      </c>
      <c r="T22" s="7">
        <f t="shared" si="11"/>
        <v>32.843791722296395</v>
      </c>
    </row>
    <row r="23" spans="2:20" x14ac:dyDescent="0.25">
      <c r="B23" s="176" t="s">
        <v>28</v>
      </c>
      <c r="C23" s="106">
        <v>871</v>
      </c>
      <c r="D23" s="107">
        <v>466</v>
      </c>
      <c r="E23" s="10">
        <f>D23/C23*100</f>
        <v>53.501722158438582</v>
      </c>
      <c r="F23" s="404">
        <v>690</v>
      </c>
      <c r="G23" s="107">
        <v>264</v>
      </c>
      <c r="H23" s="7">
        <f t="shared" si="0"/>
        <v>38.260869565217391</v>
      </c>
      <c r="I23" s="106">
        <v>929</v>
      </c>
      <c r="J23" s="107">
        <v>473</v>
      </c>
      <c r="K23" s="10">
        <f>J23/I23*100</f>
        <v>50.914962325080737</v>
      </c>
      <c r="L23" s="404">
        <v>736</v>
      </c>
      <c r="M23" s="107">
        <v>276</v>
      </c>
      <c r="N23" s="7">
        <f t="shared" si="10"/>
        <v>37.5</v>
      </c>
      <c r="O23" s="106">
        <v>987</v>
      </c>
      <c r="P23" s="107">
        <v>480</v>
      </c>
      <c r="Q23" s="10">
        <f>P23/O23*100</f>
        <v>48.632218844984806</v>
      </c>
      <c r="R23" s="404">
        <v>850</v>
      </c>
      <c r="S23" s="107">
        <v>322</v>
      </c>
      <c r="T23" s="7">
        <f t="shared" si="11"/>
        <v>37.882352941176471</v>
      </c>
    </row>
    <row r="24" spans="2:20" x14ac:dyDescent="0.25">
      <c r="B24" s="176" t="s">
        <v>29</v>
      </c>
      <c r="C24" s="106">
        <v>762</v>
      </c>
      <c r="D24" s="107">
        <v>425</v>
      </c>
      <c r="E24" s="10">
        <f t="shared" si="3"/>
        <v>55.774278215223092</v>
      </c>
      <c r="F24" s="404">
        <v>570</v>
      </c>
      <c r="G24" s="107">
        <v>210</v>
      </c>
      <c r="H24" s="7">
        <f t="shared" si="0"/>
        <v>36.84210526315789</v>
      </c>
      <c r="I24" s="106">
        <v>859</v>
      </c>
      <c r="J24" s="107">
        <v>446</v>
      </c>
      <c r="K24" s="10">
        <f t="shared" ref="K24:K25" si="14">J24/I24*100</f>
        <v>51.920838183934805</v>
      </c>
      <c r="L24" s="404">
        <v>576</v>
      </c>
      <c r="M24" s="107">
        <v>209</v>
      </c>
      <c r="N24" s="7">
        <f t="shared" si="10"/>
        <v>36.284722222222221</v>
      </c>
      <c r="O24" s="106">
        <v>959</v>
      </c>
      <c r="P24" s="107">
        <v>489</v>
      </c>
      <c r="Q24" s="10">
        <f t="shared" ref="Q24:Q25" si="15">P24/O24*100</f>
        <v>50.99061522419187</v>
      </c>
      <c r="R24" s="404">
        <v>617</v>
      </c>
      <c r="S24" s="107">
        <v>211</v>
      </c>
      <c r="T24" s="7">
        <f t="shared" si="11"/>
        <v>34.197730956239866</v>
      </c>
    </row>
    <row r="25" spans="2:20" x14ac:dyDescent="0.25">
      <c r="B25" s="176" t="s">
        <v>30</v>
      </c>
      <c r="C25" s="106">
        <v>1161</v>
      </c>
      <c r="D25" s="107">
        <v>559</v>
      </c>
      <c r="E25" s="10">
        <f t="shared" si="3"/>
        <v>48.148148148148145</v>
      </c>
      <c r="F25" s="404">
        <v>1056</v>
      </c>
      <c r="G25" s="107">
        <v>343</v>
      </c>
      <c r="H25" s="7">
        <f t="shared" si="0"/>
        <v>32.481060606060609</v>
      </c>
      <c r="I25" s="106">
        <v>1224</v>
      </c>
      <c r="J25" s="107">
        <v>573</v>
      </c>
      <c r="K25" s="10">
        <f t="shared" si="14"/>
        <v>46.813725490196077</v>
      </c>
      <c r="L25" s="404">
        <v>1111</v>
      </c>
      <c r="M25" s="107">
        <v>376</v>
      </c>
      <c r="N25" s="7">
        <f t="shared" si="10"/>
        <v>33.843384338433843</v>
      </c>
      <c r="O25" s="106">
        <v>1356</v>
      </c>
      <c r="P25" s="107">
        <v>659</v>
      </c>
      <c r="Q25" s="10">
        <f t="shared" si="15"/>
        <v>48.598820058997049</v>
      </c>
      <c r="R25" s="404">
        <v>1234</v>
      </c>
      <c r="S25" s="107">
        <v>400</v>
      </c>
      <c r="T25" s="7">
        <f t="shared" si="11"/>
        <v>32.414910858995135</v>
      </c>
    </row>
    <row r="26" spans="2:20" x14ac:dyDescent="0.25">
      <c r="B26" s="176" t="s">
        <v>31</v>
      </c>
      <c r="C26" s="106">
        <v>709</v>
      </c>
      <c r="D26" s="107">
        <v>372</v>
      </c>
      <c r="E26" s="10">
        <f>D26/C26*100</f>
        <v>52.468265162200275</v>
      </c>
      <c r="F26" s="404">
        <v>601</v>
      </c>
      <c r="G26" s="107">
        <v>201</v>
      </c>
      <c r="H26" s="7">
        <f t="shared" si="0"/>
        <v>33.444259567387682</v>
      </c>
      <c r="I26" s="106">
        <v>793</v>
      </c>
      <c r="J26" s="107">
        <v>422</v>
      </c>
      <c r="K26" s="10">
        <f>J26/I26*100</f>
        <v>53.215636822194199</v>
      </c>
      <c r="L26" s="404">
        <v>673</v>
      </c>
      <c r="M26" s="107">
        <v>236</v>
      </c>
      <c r="N26" s="7">
        <f t="shared" si="10"/>
        <v>35.066864784546802</v>
      </c>
      <c r="O26" s="106">
        <v>833</v>
      </c>
      <c r="P26" s="107">
        <v>418</v>
      </c>
      <c r="Q26" s="10">
        <f>P26/O26*100</f>
        <v>50.18007202881153</v>
      </c>
      <c r="R26" s="404">
        <v>726</v>
      </c>
      <c r="S26" s="107">
        <v>271</v>
      </c>
      <c r="T26" s="7">
        <f t="shared" si="11"/>
        <v>37.327823691460054</v>
      </c>
    </row>
    <row r="27" spans="2:20" x14ac:dyDescent="0.25">
      <c r="B27" s="176" t="s">
        <v>32</v>
      </c>
      <c r="C27" s="106">
        <v>497</v>
      </c>
      <c r="D27" s="107">
        <v>284</v>
      </c>
      <c r="E27" s="10">
        <f t="shared" si="3"/>
        <v>57.142857142857139</v>
      </c>
      <c r="F27" s="404">
        <v>486</v>
      </c>
      <c r="G27" s="107">
        <v>179</v>
      </c>
      <c r="H27" s="7">
        <f t="shared" si="0"/>
        <v>36.831275720164605</v>
      </c>
      <c r="I27" s="106">
        <v>538</v>
      </c>
      <c r="J27" s="107">
        <v>304</v>
      </c>
      <c r="K27" s="10">
        <f t="shared" ref="K27:K29" si="16">J27/I27*100</f>
        <v>56.505576208178439</v>
      </c>
      <c r="L27" s="404">
        <v>565</v>
      </c>
      <c r="M27" s="107">
        <v>203</v>
      </c>
      <c r="N27" s="7">
        <f t="shared" si="10"/>
        <v>35.929203539823007</v>
      </c>
      <c r="O27" s="106">
        <v>668</v>
      </c>
      <c r="P27" s="107">
        <v>357</v>
      </c>
      <c r="Q27" s="10">
        <f t="shared" ref="Q27:Q29" si="17">P27/O27*100</f>
        <v>53.443113772455085</v>
      </c>
      <c r="R27" s="404">
        <v>606</v>
      </c>
      <c r="S27" s="107">
        <v>218</v>
      </c>
      <c r="T27" s="7">
        <f t="shared" si="11"/>
        <v>35.973597359735976</v>
      </c>
    </row>
    <row r="28" spans="2:20" x14ac:dyDescent="0.25">
      <c r="B28" s="176" t="s">
        <v>33</v>
      </c>
      <c r="C28" s="106">
        <v>813</v>
      </c>
      <c r="D28" s="107">
        <v>394</v>
      </c>
      <c r="E28" s="10">
        <f t="shared" si="3"/>
        <v>48.462484624846248</v>
      </c>
      <c r="F28" s="404">
        <v>684</v>
      </c>
      <c r="G28" s="107">
        <v>256</v>
      </c>
      <c r="H28" s="7">
        <f t="shared" si="0"/>
        <v>37.42690058479532</v>
      </c>
      <c r="I28" s="106">
        <v>864</v>
      </c>
      <c r="J28" s="107">
        <v>419</v>
      </c>
      <c r="K28" s="10">
        <f t="shared" si="16"/>
        <v>48.495370370370374</v>
      </c>
      <c r="L28" s="404">
        <v>764</v>
      </c>
      <c r="M28" s="107">
        <v>291</v>
      </c>
      <c r="N28" s="7">
        <f t="shared" si="10"/>
        <v>38.089005235602095</v>
      </c>
      <c r="O28" s="106">
        <v>903</v>
      </c>
      <c r="P28" s="107">
        <v>419</v>
      </c>
      <c r="Q28" s="10">
        <f t="shared" si="17"/>
        <v>46.400885935769658</v>
      </c>
      <c r="R28" s="404">
        <v>797</v>
      </c>
      <c r="S28" s="107">
        <v>280</v>
      </c>
      <c r="T28" s="7">
        <f t="shared" si="11"/>
        <v>35.131744040150565</v>
      </c>
    </row>
    <row r="29" spans="2:20" x14ac:dyDescent="0.25">
      <c r="B29" s="176" t="s">
        <v>34</v>
      </c>
      <c r="C29" s="106">
        <v>299</v>
      </c>
      <c r="D29" s="107">
        <v>158</v>
      </c>
      <c r="E29" s="10">
        <f t="shared" si="3"/>
        <v>52.842809364548494</v>
      </c>
      <c r="F29" s="404">
        <v>340</v>
      </c>
      <c r="G29" s="107">
        <v>117</v>
      </c>
      <c r="H29" s="7">
        <f t="shared" si="0"/>
        <v>34.411764705882355</v>
      </c>
      <c r="I29" s="106">
        <v>314</v>
      </c>
      <c r="J29" s="107">
        <v>159</v>
      </c>
      <c r="K29" s="10">
        <f t="shared" si="16"/>
        <v>50.636942675159233</v>
      </c>
      <c r="L29" s="404">
        <v>346</v>
      </c>
      <c r="M29" s="107">
        <v>122</v>
      </c>
      <c r="N29" s="7">
        <f t="shared" si="10"/>
        <v>35.260115606936417</v>
      </c>
      <c r="O29" s="106">
        <v>389</v>
      </c>
      <c r="P29" s="107">
        <v>210</v>
      </c>
      <c r="Q29" s="10">
        <f t="shared" si="17"/>
        <v>53.984575835475582</v>
      </c>
      <c r="R29" s="404">
        <v>395</v>
      </c>
      <c r="S29" s="107">
        <v>148</v>
      </c>
      <c r="T29" s="7">
        <f t="shared" si="11"/>
        <v>37.468354430379748</v>
      </c>
    </row>
    <row r="30" spans="2:20" x14ac:dyDescent="0.25">
      <c r="B30" s="176" t="s">
        <v>35</v>
      </c>
      <c r="C30" s="106">
        <v>151</v>
      </c>
      <c r="D30" s="107">
        <v>79</v>
      </c>
      <c r="E30" s="10">
        <f>D30/C30*100</f>
        <v>52.317880794701985</v>
      </c>
      <c r="F30" s="404">
        <v>194</v>
      </c>
      <c r="G30" s="107">
        <v>78</v>
      </c>
      <c r="H30" s="7">
        <f t="shared" si="0"/>
        <v>40.206185567010309</v>
      </c>
      <c r="I30" s="106">
        <v>189</v>
      </c>
      <c r="J30" s="107">
        <v>94</v>
      </c>
      <c r="K30" s="10">
        <f>J30/I30*100</f>
        <v>49.735449735449734</v>
      </c>
      <c r="L30" s="404">
        <v>195</v>
      </c>
      <c r="M30" s="107">
        <v>79</v>
      </c>
      <c r="N30" s="7">
        <f t="shared" si="10"/>
        <v>40.512820512820511</v>
      </c>
      <c r="O30" s="106">
        <v>215</v>
      </c>
      <c r="P30" s="107">
        <v>121</v>
      </c>
      <c r="Q30" s="10">
        <f>P30/O30*100</f>
        <v>56.279069767441861</v>
      </c>
      <c r="R30" s="404">
        <v>245</v>
      </c>
      <c r="S30" s="107">
        <v>102</v>
      </c>
      <c r="T30" s="7">
        <f t="shared" si="11"/>
        <v>41.632653061224488</v>
      </c>
    </row>
    <row r="31" spans="2:20" x14ac:dyDescent="0.25">
      <c r="B31" s="176" t="s">
        <v>36</v>
      </c>
      <c r="C31" s="106">
        <v>405</v>
      </c>
      <c r="D31" s="107">
        <v>202</v>
      </c>
      <c r="E31" s="10">
        <f t="shared" si="3"/>
        <v>49.876543209876544</v>
      </c>
      <c r="F31" s="404">
        <v>680</v>
      </c>
      <c r="G31" s="107">
        <v>255</v>
      </c>
      <c r="H31" s="7">
        <f t="shared" si="0"/>
        <v>37.5</v>
      </c>
      <c r="I31" s="106">
        <v>430</v>
      </c>
      <c r="J31" s="107">
        <v>211</v>
      </c>
      <c r="K31" s="10">
        <f t="shared" ref="K31" si="18">J31/I31*100</f>
        <v>49.069767441860463</v>
      </c>
      <c r="L31" s="404">
        <v>722</v>
      </c>
      <c r="M31" s="107">
        <v>262</v>
      </c>
      <c r="N31" s="7">
        <f t="shared" si="10"/>
        <v>36.288088642659275</v>
      </c>
      <c r="O31" s="106">
        <v>465</v>
      </c>
      <c r="P31" s="107">
        <v>208</v>
      </c>
      <c r="Q31" s="10">
        <f t="shared" ref="Q31" si="19">P31/O31*100</f>
        <v>44.731182795698928</v>
      </c>
      <c r="R31" s="404">
        <v>739</v>
      </c>
      <c r="S31" s="107">
        <v>286</v>
      </c>
      <c r="T31" s="7">
        <f t="shared" si="11"/>
        <v>38.700947225981054</v>
      </c>
    </row>
    <row r="32" spans="2:20" x14ac:dyDescent="0.25">
      <c r="B32" s="176" t="s">
        <v>37</v>
      </c>
      <c r="C32" s="106">
        <v>896</v>
      </c>
      <c r="D32" s="107">
        <v>471</v>
      </c>
      <c r="E32" s="10">
        <f>D32/C32*100</f>
        <v>52.566964285714292</v>
      </c>
      <c r="F32" s="404">
        <v>1319</v>
      </c>
      <c r="G32" s="107">
        <v>498</v>
      </c>
      <c r="H32" s="7">
        <f t="shared" si="0"/>
        <v>37.755875663381353</v>
      </c>
      <c r="I32" s="106">
        <v>963</v>
      </c>
      <c r="J32" s="107">
        <v>511</v>
      </c>
      <c r="K32" s="10">
        <f>J32/I32*100</f>
        <v>53.06334371754933</v>
      </c>
      <c r="L32" s="404">
        <v>1308</v>
      </c>
      <c r="M32" s="107">
        <v>496</v>
      </c>
      <c r="N32" s="7">
        <f t="shared" si="10"/>
        <v>37.920489296636084</v>
      </c>
      <c r="O32" s="106">
        <v>1146</v>
      </c>
      <c r="P32" s="107">
        <v>625</v>
      </c>
      <c r="Q32" s="10">
        <f>P32/O32*100</f>
        <v>54.537521815008731</v>
      </c>
      <c r="R32" s="404">
        <v>1326</v>
      </c>
      <c r="S32" s="107">
        <v>507</v>
      </c>
      <c r="T32" s="7">
        <f t="shared" si="11"/>
        <v>38.235294117647058</v>
      </c>
    </row>
    <row r="33" spans="2:20" ht="15.75" thickBot="1" x14ac:dyDescent="0.3">
      <c r="B33" s="177" t="s">
        <v>38</v>
      </c>
      <c r="C33" s="108">
        <v>199</v>
      </c>
      <c r="D33" s="110">
        <v>99</v>
      </c>
      <c r="E33" s="47">
        <f>D33/C33*100</f>
        <v>49.748743718592962</v>
      </c>
      <c r="F33" s="109">
        <v>292</v>
      </c>
      <c r="G33" s="110">
        <v>109</v>
      </c>
      <c r="H33" s="8">
        <f t="shared" si="0"/>
        <v>37.328767123287669</v>
      </c>
      <c r="I33" s="108">
        <v>206</v>
      </c>
      <c r="J33" s="110">
        <v>112</v>
      </c>
      <c r="K33" s="47">
        <f>J33/I33*100</f>
        <v>54.368932038834949</v>
      </c>
      <c r="L33" s="109">
        <v>293</v>
      </c>
      <c r="M33" s="110">
        <v>118</v>
      </c>
      <c r="N33" s="8">
        <f t="shared" si="10"/>
        <v>40.273037542662117</v>
      </c>
      <c r="O33" s="108">
        <v>251</v>
      </c>
      <c r="P33" s="110">
        <v>104</v>
      </c>
      <c r="Q33" s="47">
        <f>P33/O33*100</f>
        <v>41.43426294820717</v>
      </c>
      <c r="R33" s="109">
        <v>333</v>
      </c>
      <c r="S33" s="110">
        <v>124</v>
      </c>
      <c r="T33" s="8">
        <f t="shared" si="11"/>
        <v>37.237237237237238</v>
      </c>
    </row>
    <row r="34" spans="2:20" ht="13.5" customHeight="1" x14ac:dyDescent="0.25">
      <c r="B34" s="664" t="s">
        <v>492</v>
      </c>
      <c r="C34" s="664"/>
      <c r="D34" s="664"/>
      <c r="E34" s="664"/>
      <c r="F34" s="664"/>
      <c r="G34" s="664"/>
      <c r="H34" s="664"/>
      <c r="I34" s="664"/>
      <c r="J34" s="664"/>
      <c r="K34" s="664"/>
      <c r="L34" s="664"/>
      <c r="M34" s="664"/>
      <c r="N34" s="664"/>
    </row>
    <row r="35" spans="2:20" ht="14.25" customHeight="1" x14ac:dyDescent="0.25">
      <c r="B35" s="666" t="s">
        <v>491</v>
      </c>
      <c r="C35" s="665"/>
      <c r="D35" s="665"/>
      <c r="E35" s="665"/>
      <c r="F35" s="665"/>
      <c r="G35" s="665"/>
      <c r="H35" s="665"/>
      <c r="I35" s="665"/>
      <c r="J35" s="665"/>
      <c r="K35" s="665"/>
      <c r="L35" s="665"/>
      <c r="M35" s="665"/>
      <c r="N35" s="665"/>
    </row>
    <row r="36" spans="2:20" ht="14.25" customHeight="1" x14ac:dyDescent="0.25">
      <c r="B36" s="372"/>
      <c r="C36" s="372"/>
      <c r="D36" s="372"/>
      <c r="E36" s="372"/>
      <c r="F36" s="372"/>
      <c r="G36" s="372"/>
      <c r="H36" s="372"/>
      <c r="L36" s="505"/>
    </row>
    <row r="37" spans="2:20" ht="14.25" customHeight="1" x14ac:dyDescent="0.25">
      <c r="B37" s="11" t="s">
        <v>549</v>
      </c>
      <c r="C37" s="372"/>
      <c r="D37" s="372"/>
      <c r="E37" s="372"/>
      <c r="F37" s="372"/>
      <c r="G37" s="372"/>
      <c r="H37" s="372"/>
      <c r="L37" s="505"/>
    </row>
    <row r="38" spans="2:20" ht="15.75" thickBot="1" x14ac:dyDescent="0.3">
      <c r="B38" s="11" t="s">
        <v>318</v>
      </c>
      <c r="L38" s="667"/>
    </row>
    <row r="39" spans="2:20" ht="15.75" thickBot="1" x14ac:dyDescent="0.3">
      <c r="B39" s="1019" t="s">
        <v>95</v>
      </c>
      <c r="C39" s="652"/>
      <c r="D39" s="647" t="s">
        <v>304</v>
      </c>
      <c r="E39" s="649"/>
      <c r="F39" s="650"/>
      <c r="G39" s="652"/>
      <c r="H39" s="647" t="s">
        <v>305</v>
      </c>
      <c r="I39" s="649"/>
      <c r="J39" s="650"/>
    </row>
    <row r="40" spans="2:20" x14ac:dyDescent="0.25">
      <c r="B40" s="1110"/>
      <c r="C40" s="545" t="s">
        <v>302</v>
      </c>
      <c r="D40" s="663" t="s">
        <v>101</v>
      </c>
      <c r="E40" s="545" t="s">
        <v>101</v>
      </c>
      <c r="F40" s="663" t="s">
        <v>101</v>
      </c>
      <c r="G40" s="545" t="s">
        <v>302</v>
      </c>
      <c r="H40" s="663" t="s">
        <v>101</v>
      </c>
      <c r="I40" s="545" t="s">
        <v>101</v>
      </c>
      <c r="J40" s="663" t="s">
        <v>101</v>
      </c>
    </row>
    <row r="41" spans="2:20" ht="42" customHeight="1" x14ac:dyDescent="0.25">
      <c r="B41" s="1110"/>
      <c r="C41" s="661" t="s">
        <v>518</v>
      </c>
      <c r="D41" s="658" t="s">
        <v>518</v>
      </c>
      <c r="E41" s="661" t="s">
        <v>519</v>
      </c>
      <c r="F41" s="658" t="s">
        <v>519</v>
      </c>
      <c r="G41" s="661" t="s">
        <v>518</v>
      </c>
      <c r="H41" s="658" t="s">
        <v>518</v>
      </c>
      <c r="I41" s="661" t="s">
        <v>519</v>
      </c>
      <c r="J41" s="658" t="s">
        <v>520</v>
      </c>
    </row>
    <row r="42" spans="2:20" ht="21.75" customHeight="1" x14ac:dyDescent="0.25">
      <c r="B42" s="1110"/>
      <c r="C42" s="661" t="s">
        <v>99</v>
      </c>
      <c r="D42" s="658" t="s">
        <v>303</v>
      </c>
      <c r="E42" s="661" t="s">
        <v>99</v>
      </c>
      <c r="F42" s="658" t="s">
        <v>303</v>
      </c>
      <c r="G42" s="661" t="s">
        <v>99</v>
      </c>
      <c r="H42" s="658" t="s">
        <v>303</v>
      </c>
      <c r="I42" s="661" t="s">
        <v>99</v>
      </c>
      <c r="J42" s="658" t="s">
        <v>303</v>
      </c>
    </row>
    <row r="43" spans="2:20" ht="14.25" customHeight="1" thickBot="1" x14ac:dyDescent="0.3">
      <c r="B43" s="1032"/>
      <c r="C43" s="662"/>
      <c r="D43" s="657"/>
      <c r="E43" s="662"/>
      <c r="F43" s="657"/>
      <c r="G43" s="662"/>
      <c r="H43" s="657"/>
      <c r="I43" s="662"/>
      <c r="J43" s="657"/>
    </row>
    <row r="44" spans="2:20" ht="19.5" thickBot="1" x14ac:dyDescent="0.3">
      <c r="B44" s="254" t="s">
        <v>13</v>
      </c>
      <c r="C44" s="346">
        <f>O8-I8</f>
        <v>1457</v>
      </c>
      <c r="D44" s="653">
        <f>C44*100/I8</f>
        <v>8.1328495674016192</v>
      </c>
      <c r="E44" s="346">
        <f>O8-C8</f>
        <v>3277</v>
      </c>
      <c r="F44" s="653">
        <f>E44*100/C8</f>
        <v>20.36036036036036</v>
      </c>
      <c r="G44" s="346">
        <f>R8-L8</f>
        <v>979</v>
      </c>
      <c r="H44" s="653">
        <f>G44*100/L8</f>
        <v>5.885535649873753</v>
      </c>
      <c r="I44" s="346">
        <f>R8-F8</f>
        <v>1892</v>
      </c>
      <c r="J44" s="653">
        <f>I44*100/F8</f>
        <v>12.034857833471154</v>
      </c>
    </row>
    <row r="45" spans="2:20" ht="15.75" thickTop="1" x14ac:dyDescent="0.25">
      <c r="B45" s="174" t="s">
        <v>14</v>
      </c>
      <c r="C45" s="178">
        <f t="shared" ref="C45:C69" si="20">O9-I9</f>
        <v>-28</v>
      </c>
      <c r="D45" s="654">
        <f t="shared" ref="D45:D69" si="21">C45*100/I9</f>
        <v>-8.8607594936708853</v>
      </c>
      <c r="E45" s="178">
        <f t="shared" ref="E45:E69" si="22">O9-C9</f>
        <v>21</v>
      </c>
      <c r="F45" s="654">
        <f t="shared" ref="F45:F69" si="23">E45*100/C9</f>
        <v>7.8651685393258424</v>
      </c>
      <c r="G45" s="178">
        <f t="shared" ref="G45:G69" si="24">R9-L9</f>
        <v>6</v>
      </c>
      <c r="H45" s="654">
        <f t="shared" ref="H45:H69" si="25">G45*100/L9</f>
        <v>2.42914979757085</v>
      </c>
      <c r="I45" s="178">
        <f t="shared" ref="I45:I69" si="26">R9-F9</f>
        <v>21</v>
      </c>
      <c r="J45" s="654">
        <f t="shared" ref="J45:J69" si="27">I45*100/F9</f>
        <v>9.0517241379310338</v>
      </c>
    </row>
    <row r="46" spans="2:20" x14ac:dyDescent="0.25">
      <c r="B46" s="175" t="s">
        <v>15</v>
      </c>
      <c r="C46" s="50">
        <f t="shared" si="20"/>
        <v>-5</v>
      </c>
      <c r="D46" s="655">
        <f t="shared" si="21"/>
        <v>-0.48309178743961351</v>
      </c>
      <c r="E46" s="50">
        <f t="shared" si="22"/>
        <v>174</v>
      </c>
      <c r="F46" s="655">
        <f t="shared" si="23"/>
        <v>20.327102803738317</v>
      </c>
      <c r="G46" s="50">
        <f t="shared" si="24"/>
        <v>-1</v>
      </c>
      <c r="H46" s="655">
        <f t="shared" si="25"/>
        <v>-0.11074197120708748</v>
      </c>
      <c r="I46" s="50">
        <f t="shared" si="26"/>
        <v>50</v>
      </c>
      <c r="J46" s="655">
        <f t="shared" si="27"/>
        <v>5.868544600938967</v>
      </c>
    </row>
    <row r="47" spans="2:20" x14ac:dyDescent="0.25">
      <c r="B47" s="175" t="s">
        <v>16</v>
      </c>
      <c r="C47" s="50">
        <f t="shared" si="20"/>
        <v>200</v>
      </c>
      <c r="D47" s="655">
        <f t="shared" si="21"/>
        <v>28.169014084507044</v>
      </c>
      <c r="E47" s="50">
        <f t="shared" si="22"/>
        <v>258</v>
      </c>
      <c r="F47" s="655">
        <f t="shared" si="23"/>
        <v>39.570552147239262</v>
      </c>
      <c r="G47" s="50">
        <f t="shared" si="24"/>
        <v>50</v>
      </c>
      <c r="H47" s="655">
        <f t="shared" si="25"/>
        <v>9.4696969696969688</v>
      </c>
      <c r="I47" s="50">
        <f t="shared" si="26"/>
        <v>45</v>
      </c>
      <c r="J47" s="655">
        <f t="shared" si="27"/>
        <v>8.4427767354596615</v>
      </c>
    </row>
    <row r="48" spans="2:20" x14ac:dyDescent="0.25">
      <c r="B48" s="175" t="s">
        <v>17</v>
      </c>
      <c r="C48" s="50">
        <f t="shared" si="20"/>
        <v>12</v>
      </c>
      <c r="D48" s="655">
        <f t="shared" si="21"/>
        <v>1.00418410041841</v>
      </c>
      <c r="E48" s="50">
        <f t="shared" si="22"/>
        <v>163</v>
      </c>
      <c r="F48" s="655">
        <f t="shared" si="23"/>
        <v>15.613026819923371</v>
      </c>
      <c r="G48" s="50">
        <f t="shared" si="24"/>
        <v>63</v>
      </c>
      <c r="H48" s="655">
        <f t="shared" si="25"/>
        <v>5.7168784029038111</v>
      </c>
      <c r="I48" s="50">
        <f t="shared" si="26"/>
        <v>97</v>
      </c>
      <c r="J48" s="655">
        <f t="shared" si="27"/>
        <v>9.082397003745319</v>
      </c>
    </row>
    <row r="49" spans="2:10" x14ac:dyDescent="0.25">
      <c r="B49" s="175" t="s">
        <v>18</v>
      </c>
      <c r="C49" s="50">
        <f t="shared" si="20"/>
        <v>120</v>
      </c>
      <c r="D49" s="655">
        <f t="shared" si="21"/>
        <v>9.3457943925233646</v>
      </c>
      <c r="E49" s="50">
        <f t="shared" si="22"/>
        <v>253</v>
      </c>
      <c r="F49" s="655">
        <f t="shared" si="23"/>
        <v>21.980886185925282</v>
      </c>
      <c r="G49" s="50">
        <f t="shared" si="24"/>
        <v>33</v>
      </c>
      <c r="H49" s="655">
        <f t="shared" si="25"/>
        <v>2.8522039757994815</v>
      </c>
      <c r="I49" s="50">
        <f t="shared" si="26"/>
        <v>129</v>
      </c>
      <c r="J49" s="655">
        <f t="shared" si="27"/>
        <v>12.158341187558907</v>
      </c>
    </row>
    <row r="50" spans="2:10" x14ac:dyDescent="0.25">
      <c r="B50" s="175" t="s">
        <v>19</v>
      </c>
      <c r="C50" s="50">
        <f t="shared" si="20"/>
        <v>78</v>
      </c>
      <c r="D50" s="655">
        <f t="shared" si="21"/>
        <v>18.097447795823665</v>
      </c>
      <c r="E50" s="50">
        <f t="shared" si="22"/>
        <v>98</v>
      </c>
      <c r="F50" s="655">
        <f t="shared" si="23"/>
        <v>23.844282238442823</v>
      </c>
      <c r="G50" s="50">
        <f t="shared" si="24"/>
        <v>19</v>
      </c>
      <c r="H50" s="655">
        <f t="shared" si="25"/>
        <v>4.5673076923076925</v>
      </c>
      <c r="I50" s="50">
        <f t="shared" si="26"/>
        <v>26</v>
      </c>
      <c r="J50" s="655">
        <f t="shared" si="27"/>
        <v>6.3569682151589246</v>
      </c>
    </row>
    <row r="51" spans="2:10" x14ac:dyDescent="0.25">
      <c r="B51" s="175" t="s">
        <v>20</v>
      </c>
      <c r="C51" s="50">
        <f t="shared" si="20"/>
        <v>54</v>
      </c>
      <c r="D51" s="655">
        <f t="shared" si="21"/>
        <v>8.4243369734789386</v>
      </c>
      <c r="E51" s="50">
        <f t="shared" si="22"/>
        <v>168</v>
      </c>
      <c r="F51" s="655">
        <f t="shared" si="23"/>
        <v>31.878557874762809</v>
      </c>
      <c r="G51" s="50">
        <f t="shared" si="24"/>
        <v>89</v>
      </c>
      <c r="H51" s="655">
        <f t="shared" si="25"/>
        <v>14.686468646864686</v>
      </c>
      <c r="I51" s="50">
        <f t="shared" si="26"/>
        <v>118</v>
      </c>
      <c r="J51" s="655">
        <f t="shared" si="27"/>
        <v>20.450606585788563</v>
      </c>
    </row>
    <row r="52" spans="2:10" x14ac:dyDescent="0.25">
      <c r="B52" s="175" t="s">
        <v>21</v>
      </c>
      <c r="C52" s="50">
        <f t="shared" si="20"/>
        <v>-14</v>
      </c>
      <c r="D52" s="655">
        <f t="shared" si="21"/>
        <v>-3.1818181818181817</v>
      </c>
      <c r="E52" s="50">
        <f t="shared" si="22"/>
        <v>48</v>
      </c>
      <c r="F52" s="655">
        <f t="shared" si="23"/>
        <v>12.698412698412698</v>
      </c>
      <c r="G52" s="50">
        <f t="shared" si="24"/>
        <v>5</v>
      </c>
      <c r="H52" s="655">
        <f t="shared" si="25"/>
        <v>1.098901098901099</v>
      </c>
      <c r="I52" s="50">
        <f t="shared" si="26"/>
        <v>65</v>
      </c>
      <c r="J52" s="655">
        <f t="shared" si="27"/>
        <v>16.455696202531644</v>
      </c>
    </row>
    <row r="53" spans="2:10" x14ac:dyDescent="0.25">
      <c r="B53" s="175" t="s">
        <v>22</v>
      </c>
      <c r="C53" s="50">
        <f t="shared" si="20"/>
        <v>-47</v>
      </c>
      <c r="D53" s="655">
        <f t="shared" si="21"/>
        <v>-5.3287981859410429</v>
      </c>
      <c r="E53" s="50">
        <f t="shared" si="22"/>
        <v>80</v>
      </c>
      <c r="F53" s="655">
        <f t="shared" si="23"/>
        <v>10.596026490066226</v>
      </c>
      <c r="G53" s="50">
        <f t="shared" si="24"/>
        <v>-5</v>
      </c>
      <c r="H53" s="655">
        <f t="shared" si="25"/>
        <v>-0.7363770250368189</v>
      </c>
      <c r="I53" s="50">
        <f t="shared" si="26"/>
        <v>19</v>
      </c>
      <c r="J53" s="655">
        <f t="shared" si="27"/>
        <v>2.9007633587786259</v>
      </c>
    </row>
    <row r="54" spans="2:10" x14ac:dyDescent="0.25">
      <c r="B54" s="175" t="s">
        <v>23</v>
      </c>
      <c r="C54" s="50">
        <f t="shared" si="20"/>
        <v>29</v>
      </c>
      <c r="D54" s="655">
        <f t="shared" si="21"/>
        <v>5.858585858585859</v>
      </c>
      <c r="E54" s="50">
        <f t="shared" si="22"/>
        <v>106</v>
      </c>
      <c r="F54" s="655">
        <f t="shared" si="23"/>
        <v>25.358851674641148</v>
      </c>
      <c r="G54" s="50">
        <f t="shared" si="24"/>
        <v>8</v>
      </c>
      <c r="H54" s="655">
        <f t="shared" si="25"/>
        <v>1.7021276595744681</v>
      </c>
      <c r="I54" s="50">
        <f t="shared" si="26"/>
        <v>30</v>
      </c>
      <c r="J54" s="655">
        <f t="shared" si="27"/>
        <v>6.6964285714285712</v>
      </c>
    </row>
    <row r="55" spans="2:10" x14ac:dyDescent="0.25">
      <c r="B55" s="175" t="s">
        <v>24</v>
      </c>
      <c r="C55" s="50">
        <f t="shared" si="20"/>
        <v>24</v>
      </c>
      <c r="D55" s="655">
        <f t="shared" si="21"/>
        <v>3.1372549019607843</v>
      </c>
      <c r="E55" s="50">
        <f t="shared" si="22"/>
        <v>71</v>
      </c>
      <c r="F55" s="655">
        <f t="shared" si="23"/>
        <v>9.8885793871866294</v>
      </c>
      <c r="G55" s="50">
        <f t="shared" si="24"/>
        <v>12</v>
      </c>
      <c r="H55" s="655">
        <f t="shared" si="25"/>
        <v>2.003338898163606</v>
      </c>
      <c r="I55" s="50">
        <f t="shared" si="26"/>
        <v>73</v>
      </c>
      <c r="J55" s="655">
        <f t="shared" si="27"/>
        <v>13.568773234200744</v>
      </c>
    </row>
    <row r="56" spans="2:10" x14ac:dyDescent="0.25">
      <c r="B56" s="175" t="s">
        <v>25</v>
      </c>
      <c r="C56" s="50">
        <f t="shared" si="20"/>
        <v>113</v>
      </c>
      <c r="D56" s="655">
        <f t="shared" si="21"/>
        <v>13.58173076923077</v>
      </c>
      <c r="E56" s="50">
        <f t="shared" si="22"/>
        <v>228</v>
      </c>
      <c r="F56" s="655">
        <f t="shared" si="23"/>
        <v>31.799163179916317</v>
      </c>
      <c r="G56" s="50">
        <f t="shared" si="24"/>
        <v>97</v>
      </c>
      <c r="H56" s="655">
        <f t="shared" si="25"/>
        <v>12.830687830687831</v>
      </c>
      <c r="I56" s="50">
        <f t="shared" si="26"/>
        <v>147</v>
      </c>
      <c r="J56" s="655">
        <f t="shared" si="27"/>
        <v>20.821529745042493</v>
      </c>
    </row>
    <row r="57" spans="2:10" x14ac:dyDescent="0.25">
      <c r="B57" s="175" t="s">
        <v>26</v>
      </c>
      <c r="C57" s="50">
        <f t="shared" si="20"/>
        <v>-6</v>
      </c>
      <c r="D57" s="655">
        <f t="shared" si="21"/>
        <v>-0.75853350189633373</v>
      </c>
      <c r="E57" s="50">
        <f t="shared" si="22"/>
        <v>76</v>
      </c>
      <c r="F57" s="655">
        <f t="shared" si="23"/>
        <v>10.719322990126939</v>
      </c>
      <c r="G57" s="50">
        <f t="shared" si="24"/>
        <v>7</v>
      </c>
      <c r="H57" s="655">
        <f t="shared" si="25"/>
        <v>1.0071942446043165</v>
      </c>
      <c r="I57" s="50">
        <f t="shared" si="26"/>
        <v>41</v>
      </c>
      <c r="J57" s="655">
        <f t="shared" si="27"/>
        <v>6.2027231467473527</v>
      </c>
    </row>
    <row r="58" spans="2:10" x14ac:dyDescent="0.25">
      <c r="B58" s="176" t="s">
        <v>27</v>
      </c>
      <c r="C58" s="50">
        <f t="shared" si="20"/>
        <v>64</v>
      </c>
      <c r="D58" s="655">
        <f t="shared" si="21"/>
        <v>8.1115335868187586</v>
      </c>
      <c r="E58" s="50">
        <f t="shared" si="22"/>
        <v>124</v>
      </c>
      <c r="F58" s="655">
        <f t="shared" si="23"/>
        <v>17.00960219478738</v>
      </c>
      <c r="G58" s="50">
        <f t="shared" si="24"/>
        <v>17</v>
      </c>
      <c r="H58" s="655">
        <f t="shared" si="25"/>
        <v>2.3224043715846996</v>
      </c>
      <c r="I58" s="50">
        <f t="shared" si="26"/>
        <v>75</v>
      </c>
      <c r="J58" s="655">
        <f t="shared" si="27"/>
        <v>11.127596439169139</v>
      </c>
    </row>
    <row r="59" spans="2:10" x14ac:dyDescent="0.25">
      <c r="B59" s="176" t="s">
        <v>28</v>
      </c>
      <c r="C59" s="50">
        <f t="shared" si="20"/>
        <v>58</v>
      </c>
      <c r="D59" s="655">
        <f t="shared" si="21"/>
        <v>6.2432723358449946</v>
      </c>
      <c r="E59" s="50">
        <f t="shared" si="22"/>
        <v>116</v>
      </c>
      <c r="F59" s="655">
        <f t="shared" si="23"/>
        <v>13.318025258323766</v>
      </c>
      <c r="G59" s="50">
        <f t="shared" si="24"/>
        <v>114</v>
      </c>
      <c r="H59" s="655">
        <f t="shared" si="25"/>
        <v>15.489130434782609</v>
      </c>
      <c r="I59" s="50">
        <f t="shared" si="26"/>
        <v>160</v>
      </c>
      <c r="J59" s="655">
        <f t="shared" si="27"/>
        <v>23.188405797101449</v>
      </c>
    </row>
    <row r="60" spans="2:10" x14ac:dyDescent="0.25">
      <c r="B60" s="176" t="s">
        <v>29</v>
      </c>
      <c r="C60" s="50">
        <f t="shared" si="20"/>
        <v>100</v>
      </c>
      <c r="D60" s="655">
        <f t="shared" si="21"/>
        <v>11.641443538998836</v>
      </c>
      <c r="E60" s="50">
        <f t="shared" si="22"/>
        <v>197</v>
      </c>
      <c r="F60" s="655">
        <f t="shared" si="23"/>
        <v>25.853018372703414</v>
      </c>
      <c r="G60" s="50">
        <f t="shared" si="24"/>
        <v>41</v>
      </c>
      <c r="H60" s="655">
        <f t="shared" si="25"/>
        <v>7.1180555555555554</v>
      </c>
      <c r="I60" s="50">
        <f t="shared" si="26"/>
        <v>47</v>
      </c>
      <c r="J60" s="655">
        <f t="shared" si="27"/>
        <v>8.2456140350877192</v>
      </c>
    </row>
    <row r="61" spans="2:10" x14ac:dyDescent="0.25">
      <c r="B61" s="176" t="s">
        <v>30</v>
      </c>
      <c r="C61" s="50">
        <f t="shared" si="20"/>
        <v>132</v>
      </c>
      <c r="D61" s="655">
        <f t="shared" si="21"/>
        <v>10.784313725490197</v>
      </c>
      <c r="E61" s="50">
        <f t="shared" si="22"/>
        <v>195</v>
      </c>
      <c r="F61" s="655">
        <f t="shared" si="23"/>
        <v>16.795865633074936</v>
      </c>
      <c r="G61" s="50">
        <f t="shared" si="24"/>
        <v>123</v>
      </c>
      <c r="H61" s="655">
        <f t="shared" si="25"/>
        <v>11.071107110711072</v>
      </c>
      <c r="I61" s="50">
        <f t="shared" si="26"/>
        <v>178</v>
      </c>
      <c r="J61" s="655">
        <f t="shared" si="27"/>
        <v>16.856060606060606</v>
      </c>
    </row>
    <row r="62" spans="2:10" x14ac:dyDescent="0.25">
      <c r="B62" s="176" t="s">
        <v>31</v>
      </c>
      <c r="C62" s="50">
        <f t="shared" si="20"/>
        <v>40</v>
      </c>
      <c r="D62" s="655">
        <f t="shared" si="21"/>
        <v>5.0441361916771754</v>
      </c>
      <c r="E62" s="50">
        <f t="shared" si="22"/>
        <v>124</v>
      </c>
      <c r="F62" s="655">
        <f t="shared" si="23"/>
        <v>17.489421720733429</v>
      </c>
      <c r="G62" s="50">
        <f t="shared" si="24"/>
        <v>53</v>
      </c>
      <c r="H62" s="655">
        <f t="shared" si="25"/>
        <v>7.8751857355126305</v>
      </c>
      <c r="I62" s="50">
        <f t="shared" si="26"/>
        <v>125</v>
      </c>
      <c r="J62" s="655">
        <f t="shared" si="27"/>
        <v>20.798668885191347</v>
      </c>
    </row>
    <row r="63" spans="2:10" x14ac:dyDescent="0.25">
      <c r="B63" s="176" t="s">
        <v>32</v>
      </c>
      <c r="C63" s="50">
        <f t="shared" si="20"/>
        <v>130</v>
      </c>
      <c r="D63" s="655">
        <f t="shared" si="21"/>
        <v>24.1635687732342</v>
      </c>
      <c r="E63" s="50">
        <f t="shared" si="22"/>
        <v>171</v>
      </c>
      <c r="F63" s="655">
        <f t="shared" si="23"/>
        <v>34.406438631790742</v>
      </c>
      <c r="G63" s="50">
        <f t="shared" si="24"/>
        <v>41</v>
      </c>
      <c r="H63" s="655">
        <f t="shared" si="25"/>
        <v>7.2566371681415927</v>
      </c>
      <c r="I63" s="50">
        <f t="shared" si="26"/>
        <v>120</v>
      </c>
      <c r="J63" s="655">
        <f t="shared" si="27"/>
        <v>24.691358024691358</v>
      </c>
    </row>
    <row r="64" spans="2:10" x14ac:dyDescent="0.25">
      <c r="B64" s="176" t="s">
        <v>33</v>
      </c>
      <c r="C64" s="50">
        <f t="shared" si="20"/>
        <v>39</v>
      </c>
      <c r="D64" s="655">
        <f t="shared" si="21"/>
        <v>4.5138888888888893</v>
      </c>
      <c r="E64" s="50">
        <f t="shared" si="22"/>
        <v>90</v>
      </c>
      <c r="F64" s="655">
        <f t="shared" si="23"/>
        <v>11.07011070110701</v>
      </c>
      <c r="G64" s="50">
        <f t="shared" si="24"/>
        <v>33</v>
      </c>
      <c r="H64" s="655">
        <f t="shared" si="25"/>
        <v>4.3193717277486909</v>
      </c>
      <c r="I64" s="50">
        <f t="shared" si="26"/>
        <v>113</v>
      </c>
      <c r="J64" s="655">
        <f t="shared" si="27"/>
        <v>16.520467836257311</v>
      </c>
    </row>
    <row r="65" spans="2:10" x14ac:dyDescent="0.25">
      <c r="B65" s="176" t="s">
        <v>34</v>
      </c>
      <c r="C65" s="50">
        <f t="shared" si="20"/>
        <v>75</v>
      </c>
      <c r="D65" s="655">
        <f t="shared" si="21"/>
        <v>23.885350318471339</v>
      </c>
      <c r="E65" s="50">
        <f t="shared" si="22"/>
        <v>90</v>
      </c>
      <c r="F65" s="655">
        <f t="shared" si="23"/>
        <v>30.100334448160535</v>
      </c>
      <c r="G65" s="50">
        <f t="shared" si="24"/>
        <v>49</v>
      </c>
      <c r="H65" s="655">
        <f t="shared" si="25"/>
        <v>14.16184971098266</v>
      </c>
      <c r="I65" s="50">
        <f t="shared" si="26"/>
        <v>55</v>
      </c>
      <c r="J65" s="655">
        <f t="shared" si="27"/>
        <v>16.176470588235293</v>
      </c>
    </row>
    <row r="66" spans="2:10" x14ac:dyDescent="0.25">
      <c r="B66" s="176" t="s">
        <v>35</v>
      </c>
      <c r="C66" s="50">
        <f t="shared" si="20"/>
        <v>26</v>
      </c>
      <c r="D66" s="655">
        <f t="shared" si="21"/>
        <v>13.756613756613756</v>
      </c>
      <c r="E66" s="50">
        <f t="shared" si="22"/>
        <v>64</v>
      </c>
      <c r="F66" s="655">
        <f t="shared" si="23"/>
        <v>42.384105960264904</v>
      </c>
      <c r="G66" s="50">
        <f t="shared" si="24"/>
        <v>50</v>
      </c>
      <c r="H66" s="655">
        <f t="shared" si="25"/>
        <v>25.641025641025642</v>
      </c>
      <c r="I66" s="50">
        <f t="shared" si="26"/>
        <v>51</v>
      </c>
      <c r="J66" s="655">
        <f t="shared" si="27"/>
        <v>26.288659793814432</v>
      </c>
    </row>
    <row r="67" spans="2:10" x14ac:dyDescent="0.25">
      <c r="B67" s="176" t="s">
        <v>36</v>
      </c>
      <c r="C67" s="50">
        <f t="shared" si="20"/>
        <v>35</v>
      </c>
      <c r="D67" s="655">
        <f t="shared" si="21"/>
        <v>8.1395348837209305</v>
      </c>
      <c r="E67" s="50">
        <f t="shared" si="22"/>
        <v>60</v>
      </c>
      <c r="F67" s="655">
        <f t="shared" si="23"/>
        <v>14.814814814814815</v>
      </c>
      <c r="G67" s="50">
        <f t="shared" si="24"/>
        <v>17</v>
      </c>
      <c r="H67" s="655">
        <f t="shared" si="25"/>
        <v>2.3545706371191137</v>
      </c>
      <c r="I67" s="50">
        <f t="shared" si="26"/>
        <v>59</v>
      </c>
      <c r="J67" s="655">
        <f t="shared" si="27"/>
        <v>8.6764705882352935</v>
      </c>
    </row>
    <row r="68" spans="2:10" x14ac:dyDescent="0.25">
      <c r="B68" s="176" t="s">
        <v>37</v>
      </c>
      <c r="C68" s="50">
        <f t="shared" si="20"/>
        <v>183</v>
      </c>
      <c r="D68" s="655">
        <f t="shared" si="21"/>
        <v>19.003115264797508</v>
      </c>
      <c r="E68" s="50">
        <f t="shared" si="22"/>
        <v>250</v>
      </c>
      <c r="F68" s="655">
        <f t="shared" si="23"/>
        <v>27.901785714285715</v>
      </c>
      <c r="G68" s="50">
        <f t="shared" si="24"/>
        <v>18</v>
      </c>
      <c r="H68" s="655">
        <f t="shared" si="25"/>
        <v>1.3761467889908257</v>
      </c>
      <c r="I68" s="50">
        <f t="shared" si="26"/>
        <v>7</v>
      </c>
      <c r="J68" s="655">
        <f t="shared" si="27"/>
        <v>0.53070507960576196</v>
      </c>
    </row>
    <row r="69" spans="2:10" ht="15.75" thickBot="1" x14ac:dyDescent="0.3">
      <c r="B69" s="177" t="s">
        <v>38</v>
      </c>
      <c r="C69" s="3">
        <f t="shared" si="20"/>
        <v>45</v>
      </c>
      <c r="D69" s="656">
        <f t="shared" si="21"/>
        <v>21.844660194174757</v>
      </c>
      <c r="E69" s="3">
        <f t="shared" si="22"/>
        <v>52</v>
      </c>
      <c r="F69" s="656">
        <f t="shared" si="23"/>
        <v>26.13065326633166</v>
      </c>
      <c r="G69" s="3">
        <f t="shared" si="24"/>
        <v>40</v>
      </c>
      <c r="H69" s="656">
        <f t="shared" si="25"/>
        <v>13.651877133105803</v>
      </c>
      <c r="I69" s="3">
        <f t="shared" si="26"/>
        <v>41</v>
      </c>
      <c r="J69" s="656">
        <f t="shared" si="27"/>
        <v>14.04109589041096</v>
      </c>
    </row>
  </sheetData>
  <mergeCells count="23">
    <mergeCell ref="B39:B43"/>
    <mergeCell ref="I4:N4"/>
    <mergeCell ref="I5:K5"/>
    <mergeCell ref="L5:N5"/>
    <mergeCell ref="I6:I7"/>
    <mergeCell ref="J6:K6"/>
    <mergeCell ref="D6:E6"/>
    <mergeCell ref="F6:F7"/>
    <mergeCell ref="G6:H6"/>
    <mergeCell ref="B3:B7"/>
    <mergeCell ref="C4:H4"/>
    <mergeCell ref="L6:L7"/>
    <mergeCell ref="M6:N6"/>
    <mergeCell ref="C5:E5"/>
    <mergeCell ref="F5:H5"/>
    <mergeCell ref="C6:C7"/>
    <mergeCell ref="O4:T4"/>
    <mergeCell ref="O5:Q5"/>
    <mergeCell ref="R5:T5"/>
    <mergeCell ref="O6:O7"/>
    <mergeCell ref="P6:Q6"/>
    <mergeCell ref="R6:R7"/>
    <mergeCell ref="S6:T6"/>
  </mergeCells>
  <printOptions horizontalCentered="1"/>
  <pageMargins left="0.31496062992125984" right="3.937007874015748E-2" top="0.6692913385826772" bottom="3.937007874015748E-2" header="3.937007874015748E-2" footer="0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  <pageSetUpPr fitToPage="1"/>
  </sheetPr>
  <dimension ref="B1:N68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3.85546875" style="77" customWidth="1"/>
    <col min="2" max="2" width="30.28515625" style="77" customWidth="1"/>
    <col min="3" max="3" width="15.28515625" style="77" customWidth="1"/>
    <col min="4" max="4" width="14.7109375" style="77" customWidth="1"/>
    <col min="5" max="5" width="14.140625" style="77" customWidth="1"/>
    <col min="6" max="6" width="14.5703125" style="77" customWidth="1"/>
    <col min="7" max="7" width="13.7109375" style="77" customWidth="1"/>
    <col min="8" max="8" width="13.85546875" style="77" customWidth="1"/>
    <col min="9" max="9" width="12.85546875" style="77" customWidth="1"/>
    <col min="10" max="10" width="12.5703125" style="77" customWidth="1"/>
    <col min="11" max="11" width="14.85546875" style="77" customWidth="1"/>
    <col min="12" max="12" width="13" style="77" customWidth="1"/>
    <col min="13" max="13" width="14.140625" style="77" customWidth="1"/>
    <col min="14" max="14" width="13.28515625" style="77" customWidth="1"/>
    <col min="15" max="15" width="14.28515625" style="77" customWidth="1"/>
    <col min="16" max="16384" width="9.140625" style="77"/>
  </cols>
  <sheetData>
    <row r="1" spans="2:14" x14ac:dyDescent="0.25">
      <c r="B1" s="11" t="s">
        <v>462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4" ht="16.5" customHeight="1" thickBot="1" x14ac:dyDescent="0.3">
      <c r="B2" s="11" t="s">
        <v>292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48"/>
      <c r="N2" s="286"/>
    </row>
    <row r="3" spans="2:14" x14ac:dyDescent="0.25">
      <c r="B3" s="1129" t="s">
        <v>95</v>
      </c>
      <c r="C3" s="674"/>
      <c r="D3" s="670" t="s">
        <v>417</v>
      </c>
      <c r="E3" s="263"/>
      <c r="F3" s="674"/>
      <c r="G3" s="670" t="s">
        <v>478</v>
      </c>
      <c r="H3" s="263"/>
      <c r="I3" s="674"/>
      <c r="J3" s="670" t="s">
        <v>508</v>
      </c>
      <c r="K3" s="263"/>
    </row>
    <row r="4" spans="2:14" ht="19.5" customHeight="1" x14ac:dyDescent="0.25">
      <c r="B4" s="1130"/>
      <c r="C4" s="1116" t="s">
        <v>143</v>
      </c>
      <c r="D4" s="1117"/>
      <c r="E4" s="1119"/>
      <c r="F4" s="1116" t="s">
        <v>143</v>
      </c>
      <c r="G4" s="1117"/>
      <c r="H4" s="1119"/>
      <c r="I4" s="1116" t="s">
        <v>143</v>
      </c>
      <c r="J4" s="1117"/>
      <c r="K4" s="1118"/>
    </row>
    <row r="5" spans="2:14" ht="17.25" customHeight="1" x14ac:dyDescent="0.25">
      <c r="B5" s="1130"/>
      <c r="C5" s="1120" t="s">
        <v>4</v>
      </c>
      <c r="D5" s="1106" t="s">
        <v>92</v>
      </c>
      <c r="E5" s="1122"/>
      <c r="F5" s="1120" t="s">
        <v>4</v>
      </c>
      <c r="G5" s="1106" t="s">
        <v>92</v>
      </c>
      <c r="H5" s="1122"/>
      <c r="I5" s="1120" t="s">
        <v>4</v>
      </c>
      <c r="J5" s="1106" t="s">
        <v>92</v>
      </c>
      <c r="K5" s="1109"/>
    </row>
    <row r="6" spans="2:14" ht="23.25" customHeight="1" thickBot="1" x14ac:dyDescent="0.3">
      <c r="B6" s="1131"/>
      <c r="C6" s="1121"/>
      <c r="D6" s="671" t="s">
        <v>99</v>
      </c>
      <c r="E6" s="672" t="s">
        <v>347</v>
      </c>
      <c r="F6" s="1121"/>
      <c r="G6" s="671" t="s">
        <v>99</v>
      </c>
      <c r="H6" s="672" t="s">
        <v>347</v>
      </c>
      <c r="I6" s="1121"/>
      <c r="J6" s="671" t="s">
        <v>99</v>
      </c>
      <c r="K6" s="673" t="s">
        <v>347</v>
      </c>
    </row>
    <row r="7" spans="2:14" ht="27" customHeight="1" thickBot="1" x14ac:dyDescent="0.3">
      <c r="B7" s="254" t="s">
        <v>13</v>
      </c>
      <c r="C7" s="255">
        <f>SUM(C8:C32)</f>
        <v>35900</v>
      </c>
      <c r="D7" s="256">
        <f>SUM(D8:D32)</f>
        <v>19610</v>
      </c>
      <c r="E7" s="258">
        <f>D7*100/C7</f>
        <v>54.623955431754872</v>
      </c>
      <c r="F7" s="255">
        <f>SUM(F8:F32)</f>
        <v>37056</v>
      </c>
      <c r="G7" s="256">
        <f>SUM(G8:G32)</f>
        <v>19953</v>
      </c>
      <c r="H7" s="258">
        <f>G7*100/F7</f>
        <v>53.8455310880829</v>
      </c>
      <c r="I7" s="255">
        <f>SUM(I8:I32)</f>
        <v>39558</v>
      </c>
      <c r="J7" s="256">
        <f>SUM(J8:J32)</f>
        <v>20467</v>
      </c>
      <c r="K7" s="257">
        <f>J7*100/I7</f>
        <v>51.739218362910158</v>
      </c>
    </row>
    <row r="8" spans="2:14" ht="15.75" thickTop="1" x14ac:dyDescent="0.25">
      <c r="B8" s="174" t="s">
        <v>14</v>
      </c>
      <c r="C8" s="178">
        <v>617</v>
      </c>
      <c r="D8" s="179">
        <v>321</v>
      </c>
      <c r="E8" s="259">
        <f t="shared" ref="E8:E31" si="0">D8*100/C8</f>
        <v>52.025931928687193</v>
      </c>
      <c r="F8" s="178">
        <v>662</v>
      </c>
      <c r="G8" s="179">
        <v>330</v>
      </c>
      <c r="H8" s="259">
        <f t="shared" ref="H8:H31" si="1">G8*100/F8</f>
        <v>49.848942598187314</v>
      </c>
      <c r="I8" s="178">
        <v>683</v>
      </c>
      <c r="J8" s="179">
        <v>317</v>
      </c>
      <c r="K8" s="54">
        <f t="shared" ref="K8:K32" si="2">J8*100/I8</f>
        <v>46.412884333821374</v>
      </c>
    </row>
    <row r="9" spans="2:14" x14ac:dyDescent="0.25">
      <c r="B9" s="175" t="s">
        <v>15</v>
      </c>
      <c r="C9" s="50">
        <v>2314</v>
      </c>
      <c r="D9" s="9">
        <v>1285</v>
      </c>
      <c r="E9" s="259">
        <f t="shared" si="0"/>
        <v>55.53154710458081</v>
      </c>
      <c r="F9" s="50">
        <v>2410</v>
      </c>
      <c r="G9" s="9">
        <v>1299</v>
      </c>
      <c r="H9" s="259">
        <f t="shared" si="1"/>
        <v>53.900414937759336</v>
      </c>
      <c r="I9" s="50">
        <v>2383</v>
      </c>
      <c r="J9" s="9">
        <v>1249</v>
      </c>
      <c r="K9" s="54">
        <f t="shared" si="2"/>
        <v>52.412924884599242</v>
      </c>
    </row>
    <row r="10" spans="2:14" x14ac:dyDescent="0.25">
      <c r="B10" s="175" t="s">
        <v>16</v>
      </c>
      <c r="C10" s="50">
        <v>954</v>
      </c>
      <c r="D10" s="9">
        <v>653</v>
      </c>
      <c r="E10" s="259">
        <f t="shared" si="0"/>
        <v>68.448637316561843</v>
      </c>
      <c r="F10" s="50">
        <v>964</v>
      </c>
      <c r="G10" s="9">
        <v>646</v>
      </c>
      <c r="H10" s="259">
        <f t="shared" si="1"/>
        <v>67.012448132780079</v>
      </c>
      <c r="I10" s="50">
        <v>1055</v>
      </c>
      <c r="J10" s="9">
        <v>706</v>
      </c>
      <c r="K10" s="54">
        <f t="shared" si="2"/>
        <v>66.919431279620852</v>
      </c>
    </row>
    <row r="11" spans="2:14" x14ac:dyDescent="0.25">
      <c r="B11" s="175" t="s">
        <v>17</v>
      </c>
      <c r="C11" s="50">
        <v>2442</v>
      </c>
      <c r="D11" s="9">
        <v>1351</v>
      </c>
      <c r="E11" s="259">
        <f t="shared" si="0"/>
        <v>55.323505323505323</v>
      </c>
      <c r="F11" s="50">
        <v>2461</v>
      </c>
      <c r="G11" s="9">
        <v>1372</v>
      </c>
      <c r="H11" s="259">
        <f t="shared" si="1"/>
        <v>55.749695245835028</v>
      </c>
      <c r="I11" s="50">
        <v>2641</v>
      </c>
      <c r="J11" s="9">
        <v>1404</v>
      </c>
      <c r="K11" s="54">
        <f t="shared" si="2"/>
        <v>53.161681181370696</v>
      </c>
    </row>
    <row r="12" spans="2:14" x14ac:dyDescent="0.25">
      <c r="B12" s="175" t="s">
        <v>18</v>
      </c>
      <c r="C12" s="50">
        <v>2922</v>
      </c>
      <c r="D12" s="9">
        <v>1860</v>
      </c>
      <c r="E12" s="259">
        <f t="shared" si="0"/>
        <v>63.655030800821358</v>
      </c>
      <c r="F12" s="50">
        <v>2990</v>
      </c>
      <c r="G12" s="9">
        <v>1869</v>
      </c>
      <c r="H12" s="259">
        <f t="shared" si="1"/>
        <v>62.508361204013376</v>
      </c>
      <c r="I12" s="50">
        <v>3196</v>
      </c>
      <c r="J12" s="9">
        <v>1890</v>
      </c>
      <c r="K12" s="54">
        <f t="shared" si="2"/>
        <v>59.136420525657073</v>
      </c>
    </row>
    <row r="13" spans="2:14" x14ac:dyDescent="0.25">
      <c r="B13" s="175" t="s">
        <v>19</v>
      </c>
      <c r="C13" s="50">
        <v>713</v>
      </c>
      <c r="D13" s="9">
        <v>364</v>
      </c>
      <c r="E13" s="259">
        <f t="shared" si="0"/>
        <v>51.051893408134646</v>
      </c>
      <c r="F13" s="50">
        <v>720</v>
      </c>
      <c r="G13" s="9">
        <v>358</v>
      </c>
      <c r="H13" s="259">
        <f t="shared" si="1"/>
        <v>49.722222222222221</v>
      </c>
      <c r="I13" s="50">
        <v>818</v>
      </c>
      <c r="J13" s="9">
        <v>369</v>
      </c>
      <c r="K13" s="54">
        <f t="shared" si="2"/>
        <v>45.110024449877749</v>
      </c>
    </row>
    <row r="14" spans="2:14" x14ac:dyDescent="0.25">
      <c r="B14" s="175" t="s">
        <v>20</v>
      </c>
      <c r="C14" s="50">
        <v>973</v>
      </c>
      <c r="D14" s="9">
        <v>549</v>
      </c>
      <c r="E14" s="259">
        <f t="shared" si="0"/>
        <v>56.423432682425485</v>
      </c>
      <c r="F14" s="50">
        <v>1020</v>
      </c>
      <c r="G14" s="9">
        <v>605</v>
      </c>
      <c r="H14" s="259">
        <f t="shared" si="1"/>
        <v>59.313725490196077</v>
      </c>
      <c r="I14" s="50">
        <v>1230</v>
      </c>
      <c r="J14" s="9">
        <v>693</v>
      </c>
      <c r="K14" s="54">
        <f t="shared" si="2"/>
        <v>56.341463414634148</v>
      </c>
    </row>
    <row r="15" spans="2:14" x14ac:dyDescent="0.25">
      <c r="B15" s="175" t="s">
        <v>21</v>
      </c>
      <c r="C15" s="50">
        <v>1027</v>
      </c>
      <c r="D15" s="9">
        <v>469</v>
      </c>
      <c r="E15" s="259">
        <f t="shared" si="0"/>
        <v>45.666991236611487</v>
      </c>
      <c r="F15" s="50">
        <v>1083</v>
      </c>
      <c r="G15" s="9">
        <v>476</v>
      </c>
      <c r="H15" s="259">
        <f t="shared" si="1"/>
        <v>43.951985226223456</v>
      </c>
      <c r="I15" s="50">
        <v>1101</v>
      </c>
      <c r="J15" s="9">
        <v>497</v>
      </c>
      <c r="K15" s="54">
        <f t="shared" si="2"/>
        <v>45.140781108083559</v>
      </c>
    </row>
    <row r="16" spans="2:14" x14ac:dyDescent="0.25">
      <c r="B16" s="175" t="s">
        <v>22</v>
      </c>
      <c r="C16" s="50">
        <v>1641</v>
      </c>
      <c r="D16" s="9">
        <v>945</v>
      </c>
      <c r="E16" s="259">
        <f t="shared" si="0"/>
        <v>57.586837294332724</v>
      </c>
      <c r="F16" s="50">
        <v>1705</v>
      </c>
      <c r="G16" s="9">
        <v>961</v>
      </c>
      <c r="H16" s="259">
        <f t="shared" si="1"/>
        <v>56.363636363636367</v>
      </c>
      <c r="I16" s="50">
        <v>1781</v>
      </c>
      <c r="J16" s="9">
        <v>972</v>
      </c>
      <c r="K16" s="54">
        <f>J16*100/I16</f>
        <v>54.576080853453114</v>
      </c>
    </row>
    <row r="17" spans="2:13" x14ac:dyDescent="0.25">
      <c r="B17" s="175" t="s">
        <v>23</v>
      </c>
      <c r="C17" s="50">
        <v>823</v>
      </c>
      <c r="D17" s="9">
        <v>392</v>
      </c>
      <c r="E17" s="259">
        <f t="shared" si="0"/>
        <v>47.630619684082625</v>
      </c>
      <c r="F17" s="50">
        <v>898</v>
      </c>
      <c r="G17" s="9">
        <v>432</v>
      </c>
      <c r="H17" s="259">
        <f t="shared" si="1"/>
        <v>48.106904231625833</v>
      </c>
      <c r="I17" s="50">
        <v>925</v>
      </c>
      <c r="J17" s="9">
        <v>423</v>
      </c>
      <c r="K17" s="54">
        <f t="shared" si="2"/>
        <v>45.729729729729726</v>
      </c>
    </row>
    <row r="18" spans="2:13" x14ac:dyDescent="0.25">
      <c r="B18" s="175" t="s">
        <v>24</v>
      </c>
      <c r="C18" s="50">
        <v>1194</v>
      </c>
      <c r="D18" s="9">
        <v>615</v>
      </c>
      <c r="E18" s="259">
        <f t="shared" si="0"/>
        <v>51.507537688442213</v>
      </c>
      <c r="F18" s="50">
        <v>1223</v>
      </c>
      <c r="G18" s="9">
        <v>604</v>
      </c>
      <c r="H18" s="259">
        <f t="shared" si="1"/>
        <v>49.386753883892069</v>
      </c>
      <c r="I18" s="50">
        <v>1253</v>
      </c>
      <c r="J18" s="9">
        <v>596</v>
      </c>
      <c r="K18" s="54">
        <f t="shared" si="2"/>
        <v>47.565841979249804</v>
      </c>
    </row>
    <row r="19" spans="2:13" x14ac:dyDescent="0.25">
      <c r="B19" s="175" t="s">
        <v>25</v>
      </c>
      <c r="C19" s="50">
        <v>1385</v>
      </c>
      <c r="D19" s="9">
        <v>696</v>
      </c>
      <c r="E19" s="259">
        <f t="shared" si="0"/>
        <v>50.252707581227433</v>
      </c>
      <c r="F19" s="50">
        <v>1490</v>
      </c>
      <c r="G19" s="9">
        <v>745</v>
      </c>
      <c r="H19" s="259">
        <f t="shared" si="1"/>
        <v>50</v>
      </c>
      <c r="I19" s="50">
        <v>1677</v>
      </c>
      <c r="J19" s="9">
        <v>810</v>
      </c>
      <c r="K19" s="54">
        <f t="shared" si="2"/>
        <v>48.300536672629697</v>
      </c>
    </row>
    <row r="20" spans="2:13" x14ac:dyDescent="0.25">
      <c r="B20" s="175" t="s">
        <v>26</v>
      </c>
      <c r="C20" s="50">
        <v>1594</v>
      </c>
      <c r="D20" s="9">
        <v>881</v>
      </c>
      <c r="E20" s="259">
        <f t="shared" si="0"/>
        <v>55.269761606022584</v>
      </c>
      <c r="F20" s="50">
        <v>1647</v>
      </c>
      <c r="G20" s="9">
        <v>876</v>
      </c>
      <c r="H20" s="259">
        <f t="shared" si="1"/>
        <v>53.187613843351549</v>
      </c>
      <c r="I20" s="50">
        <v>1734</v>
      </c>
      <c r="J20" s="9">
        <v>893</v>
      </c>
      <c r="K20" s="54">
        <f t="shared" si="2"/>
        <v>51.499423298731259</v>
      </c>
    </row>
    <row r="21" spans="2:13" x14ac:dyDescent="0.25">
      <c r="B21" s="176" t="s">
        <v>27</v>
      </c>
      <c r="C21" s="106">
        <v>1620</v>
      </c>
      <c r="D21" s="107">
        <v>883</v>
      </c>
      <c r="E21" s="259">
        <f t="shared" si="0"/>
        <v>54.506172839506171</v>
      </c>
      <c r="F21" s="106">
        <v>1725</v>
      </c>
      <c r="G21" s="107">
        <v>922</v>
      </c>
      <c r="H21" s="259">
        <f t="shared" si="1"/>
        <v>53.449275362318843</v>
      </c>
      <c r="I21" s="106">
        <v>1803</v>
      </c>
      <c r="J21" s="107">
        <v>887</v>
      </c>
      <c r="K21" s="54">
        <f t="shared" si="2"/>
        <v>49.195784803105937</v>
      </c>
    </row>
    <row r="22" spans="2:13" x14ac:dyDescent="0.25">
      <c r="B22" s="176" t="s">
        <v>28</v>
      </c>
      <c r="C22" s="106">
        <v>1899</v>
      </c>
      <c r="D22" s="107">
        <v>1112</v>
      </c>
      <c r="E22" s="259">
        <f t="shared" si="0"/>
        <v>58.557135334386523</v>
      </c>
      <c r="F22" s="106">
        <v>1962</v>
      </c>
      <c r="G22" s="107">
        <v>1128</v>
      </c>
      <c r="H22" s="259">
        <f t="shared" si="1"/>
        <v>57.49235474006116</v>
      </c>
      <c r="I22" s="106">
        <v>2050</v>
      </c>
      <c r="J22" s="107">
        <v>1136</v>
      </c>
      <c r="K22" s="54">
        <f t="shared" si="2"/>
        <v>55.414634146341463</v>
      </c>
    </row>
    <row r="23" spans="2:13" x14ac:dyDescent="0.25">
      <c r="B23" s="176" t="s">
        <v>29</v>
      </c>
      <c r="C23" s="106">
        <v>1298</v>
      </c>
      <c r="D23" s="107">
        <v>724</v>
      </c>
      <c r="E23" s="259">
        <f t="shared" si="0"/>
        <v>55.778120184899848</v>
      </c>
      <c r="F23" s="106">
        <v>1339</v>
      </c>
      <c r="G23" s="107">
        <v>751</v>
      </c>
      <c r="H23" s="259">
        <f t="shared" si="1"/>
        <v>56.086631814787154</v>
      </c>
      <c r="I23" s="106">
        <v>1558</v>
      </c>
      <c r="J23" s="107">
        <v>830</v>
      </c>
      <c r="K23" s="54">
        <f t="shared" si="2"/>
        <v>53.273427471116818</v>
      </c>
    </row>
    <row r="24" spans="2:13" x14ac:dyDescent="0.25">
      <c r="B24" s="176" t="s">
        <v>30</v>
      </c>
      <c r="C24" s="106">
        <v>2506</v>
      </c>
      <c r="D24" s="107">
        <v>1268</v>
      </c>
      <c r="E24" s="259">
        <f t="shared" si="0"/>
        <v>50.598563447725461</v>
      </c>
      <c r="F24" s="106">
        <v>2517</v>
      </c>
      <c r="G24" s="107">
        <v>1257</v>
      </c>
      <c r="H24" s="259">
        <f t="shared" si="1"/>
        <v>49.9404052443385</v>
      </c>
      <c r="I24" s="106">
        <v>2711</v>
      </c>
      <c r="J24" s="107">
        <v>1265</v>
      </c>
      <c r="K24" s="54">
        <f t="shared" si="2"/>
        <v>46.661748432312798</v>
      </c>
    </row>
    <row r="25" spans="2:13" x14ac:dyDescent="0.25">
      <c r="B25" s="176" t="s">
        <v>31</v>
      </c>
      <c r="C25" s="106">
        <v>1440</v>
      </c>
      <c r="D25" s="107">
        <v>761</v>
      </c>
      <c r="E25" s="259">
        <f t="shared" si="0"/>
        <v>52.847222222222221</v>
      </c>
      <c r="F25" s="106">
        <v>1522</v>
      </c>
      <c r="G25" s="107">
        <v>797</v>
      </c>
      <c r="H25" s="259">
        <f t="shared" si="1"/>
        <v>52.365308804204993</v>
      </c>
      <c r="I25" s="106">
        <v>1680</v>
      </c>
      <c r="J25" s="107">
        <v>857</v>
      </c>
      <c r="K25" s="54">
        <f t="shared" si="2"/>
        <v>51.011904761904759</v>
      </c>
    </row>
    <row r="26" spans="2:13" x14ac:dyDescent="0.25">
      <c r="B26" s="176" t="s">
        <v>32</v>
      </c>
      <c r="C26" s="106">
        <v>769</v>
      </c>
      <c r="D26" s="107">
        <v>422</v>
      </c>
      <c r="E26" s="259">
        <f t="shared" si="0"/>
        <v>54.876462938881666</v>
      </c>
      <c r="F26" s="106">
        <v>897</v>
      </c>
      <c r="G26" s="107">
        <v>508</v>
      </c>
      <c r="H26" s="259">
        <f t="shared" si="1"/>
        <v>56.633221850613154</v>
      </c>
      <c r="I26" s="106">
        <v>1128</v>
      </c>
      <c r="J26" s="107">
        <v>592</v>
      </c>
      <c r="K26" s="54">
        <f t="shared" si="2"/>
        <v>52.4822695035461</v>
      </c>
    </row>
    <row r="27" spans="2:13" x14ac:dyDescent="0.25">
      <c r="B27" s="176" t="s">
        <v>33</v>
      </c>
      <c r="C27" s="106">
        <v>1868</v>
      </c>
      <c r="D27" s="107">
        <v>1035</v>
      </c>
      <c r="E27" s="259">
        <f t="shared" si="0"/>
        <v>55.406852248394003</v>
      </c>
      <c r="F27" s="106">
        <v>1939</v>
      </c>
      <c r="G27" s="107">
        <v>1054</v>
      </c>
      <c r="H27" s="259">
        <f t="shared" si="1"/>
        <v>54.357916451779268</v>
      </c>
      <c r="I27" s="106">
        <v>2010</v>
      </c>
      <c r="J27" s="107">
        <v>1049</v>
      </c>
      <c r="K27" s="54">
        <f t="shared" si="2"/>
        <v>52.189054726368163</v>
      </c>
    </row>
    <row r="28" spans="2:13" x14ac:dyDescent="0.25">
      <c r="B28" s="176" t="s">
        <v>34</v>
      </c>
      <c r="C28" s="106">
        <v>615</v>
      </c>
      <c r="D28" s="107">
        <v>331</v>
      </c>
      <c r="E28" s="259">
        <f t="shared" si="0"/>
        <v>53.821138211382113</v>
      </c>
      <c r="F28" s="106">
        <v>633</v>
      </c>
      <c r="G28" s="107">
        <v>334</v>
      </c>
      <c r="H28" s="259">
        <f t="shared" si="1"/>
        <v>52.764612954186411</v>
      </c>
      <c r="I28" s="106">
        <v>683</v>
      </c>
      <c r="J28" s="107">
        <v>354</v>
      </c>
      <c r="K28" s="54">
        <f t="shared" si="2"/>
        <v>51.83016105417277</v>
      </c>
    </row>
    <row r="29" spans="2:13" x14ac:dyDescent="0.25">
      <c r="B29" s="176" t="s">
        <v>35</v>
      </c>
      <c r="C29" s="106">
        <v>320</v>
      </c>
      <c r="D29" s="107">
        <v>182</v>
      </c>
      <c r="E29" s="259">
        <f t="shared" si="0"/>
        <v>56.875</v>
      </c>
      <c r="F29" s="106">
        <v>341</v>
      </c>
      <c r="G29" s="107">
        <v>183</v>
      </c>
      <c r="H29" s="259">
        <f t="shared" si="1"/>
        <v>53.665689149560116</v>
      </c>
      <c r="I29" s="106">
        <v>431</v>
      </c>
      <c r="J29" s="107">
        <v>239</v>
      </c>
      <c r="K29" s="54">
        <f t="shared" si="2"/>
        <v>55.45243619489559</v>
      </c>
    </row>
    <row r="30" spans="2:13" x14ac:dyDescent="0.25">
      <c r="B30" s="176" t="s">
        <v>36</v>
      </c>
      <c r="C30" s="106">
        <v>1448</v>
      </c>
      <c r="D30" s="107">
        <v>729</v>
      </c>
      <c r="E30" s="259">
        <f t="shared" si="0"/>
        <v>50.345303867403317</v>
      </c>
      <c r="F30" s="106">
        <v>1515</v>
      </c>
      <c r="G30" s="107">
        <v>749</v>
      </c>
      <c r="H30" s="259">
        <f t="shared" si="1"/>
        <v>49.438943894389439</v>
      </c>
      <c r="I30" s="106">
        <v>1501</v>
      </c>
      <c r="J30" s="107">
        <v>709</v>
      </c>
      <c r="K30" s="54">
        <f t="shared" si="2"/>
        <v>47.235176548967353</v>
      </c>
    </row>
    <row r="31" spans="2:13" x14ac:dyDescent="0.25">
      <c r="B31" s="176" t="s">
        <v>37</v>
      </c>
      <c r="C31" s="106">
        <v>2975</v>
      </c>
      <c r="D31" s="107">
        <v>1499</v>
      </c>
      <c r="E31" s="259">
        <f t="shared" si="0"/>
        <v>50.386554621848738</v>
      </c>
      <c r="F31" s="106">
        <v>2872</v>
      </c>
      <c r="G31" s="107">
        <v>1429</v>
      </c>
      <c r="H31" s="259">
        <f t="shared" si="1"/>
        <v>49.756267409470752</v>
      </c>
      <c r="I31" s="106">
        <v>2935</v>
      </c>
      <c r="J31" s="107">
        <v>1433</v>
      </c>
      <c r="K31" s="54">
        <f t="shared" si="2"/>
        <v>48.824531516183988</v>
      </c>
    </row>
    <row r="32" spans="2:13" ht="15.75" thickBot="1" x14ac:dyDescent="0.3">
      <c r="B32" s="177" t="s">
        <v>38</v>
      </c>
      <c r="C32" s="108">
        <v>543</v>
      </c>
      <c r="D32" s="110">
        <v>283</v>
      </c>
      <c r="E32" s="260">
        <f>D32*100/C32</f>
        <v>52.117863720073665</v>
      </c>
      <c r="F32" s="108">
        <v>521</v>
      </c>
      <c r="G32" s="110">
        <v>268</v>
      </c>
      <c r="H32" s="260">
        <f>G32*100/F32</f>
        <v>51.439539347408832</v>
      </c>
      <c r="I32" s="108">
        <v>591</v>
      </c>
      <c r="J32" s="110">
        <v>297</v>
      </c>
      <c r="K32" s="94">
        <f t="shared" si="2"/>
        <v>50.253807106598984</v>
      </c>
      <c r="M32" s="285">
        <f>SUM(I7/T.I!F6*100)</f>
        <v>54.896681885677012</v>
      </c>
    </row>
    <row r="33" spans="2:13" x14ac:dyDescent="0.25">
      <c r="B33" s="291" t="s">
        <v>223</v>
      </c>
      <c r="C33" s="345"/>
      <c r="D33" s="345"/>
      <c r="E33" s="345"/>
      <c r="F33" s="11"/>
      <c r="G33" s="11"/>
      <c r="H33" s="11"/>
      <c r="I33" s="11"/>
      <c r="J33" s="11"/>
      <c r="K33" s="11"/>
      <c r="L33" s="11"/>
      <c r="M33" s="287">
        <f>SUM(C7/T.I!C6*100)</f>
        <v>53.314720209100628</v>
      </c>
    </row>
    <row r="34" spans="2:13" x14ac:dyDescent="0.25">
      <c r="B34" s="11" t="s">
        <v>225</v>
      </c>
      <c r="C34" s="11"/>
      <c r="D34" s="11"/>
      <c r="E34" s="11"/>
      <c r="F34" s="291"/>
      <c r="G34" s="291"/>
      <c r="H34" s="291"/>
      <c r="J34" s="230"/>
      <c r="K34" s="230"/>
      <c r="L34" s="230"/>
      <c r="M34" s="230"/>
    </row>
    <row r="35" spans="2:13" x14ac:dyDescent="0.25">
      <c r="B35" s="11" t="s">
        <v>226</v>
      </c>
      <c r="C35" s="11"/>
      <c r="D35" s="11"/>
      <c r="E35" s="11"/>
      <c r="F35" s="11"/>
      <c r="G35" s="505"/>
    </row>
    <row r="36" spans="2:13" x14ac:dyDescent="0.25">
      <c r="G36" s="505"/>
    </row>
    <row r="37" spans="2:13" x14ac:dyDescent="0.25">
      <c r="B37" s="11" t="s">
        <v>550</v>
      </c>
    </row>
    <row r="38" spans="2:13" ht="15.75" thickBot="1" x14ac:dyDescent="0.3">
      <c r="B38" s="11" t="s">
        <v>237</v>
      </c>
    </row>
    <row r="39" spans="2:13" x14ac:dyDescent="0.25">
      <c r="B39" s="1019" t="s">
        <v>95</v>
      </c>
      <c r="C39" s="1132" t="s">
        <v>493</v>
      </c>
      <c r="D39" s="1038" t="s">
        <v>494</v>
      </c>
      <c r="E39" s="1123" t="s">
        <v>495</v>
      </c>
      <c r="F39" s="1126" t="s">
        <v>496</v>
      </c>
    </row>
    <row r="40" spans="2:13" x14ac:dyDescent="0.25">
      <c r="B40" s="1110"/>
      <c r="C40" s="1133"/>
      <c r="D40" s="1134"/>
      <c r="E40" s="1124"/>
      <c r="F40" s="1127"/>
    </row>
    <row r="41" spans="2:13" x14ac:dyDescent="0.25">
      <c r="B41" s="1110"/>
      <c r="C41" s="1133"/>
      <c r="D41" s="1134"/>
      <c r="E41" s="1124"/>
      <c r="F41" s="1127"/>
    </row>
    <row r="42" spans="2:13" ht="15.75" thickBot="1" x14ac:dyDescent="0.3">
      <c r="B42" s="1032"/>
      <c r="C42" s="1002"/>
      <c r="D42" s="1005"/>
      <c r="E42" s="1125"/>
      <c r="F42" s="1128"/>
    </row>
    <row r="43" spans="2:13" ht="19.5" thickBot="1" x14ac:dyDescent="0.3">
      <c r="B43" s="254" t="s">
        <v>13</v>
      </c>
      <c r="C43" s="255">
        <f>I7-F7</f>
        <v>2502</v>
      </c>
      <c r="D43" s="257">
        <f>C43*100/F7</f>
        <v>6.7519430051813467</v>
      </c>
      <c r="E43" s="255">
        <f>I7-C7</f>
        <v>3658</v>
      </c>
      <c r="F43" s="257">
        <f>E43*100/C7</f>
        <v>10.18941504178273</v>
      </c>
    </row>
    <row r="44" spans="2:13" ht="15.75" thickTop="1" x14ac:dyDescent="0.25">
      <c r="B44" s="174" t="s">
        <v>14</v>
      </c>
      <c r="C44" s="178">
        <f t="shared" ref="C44:C68" si="3">I8-F8</f>
        <v>21</v>
      </c>
      <c r="D44" s="54">
        <f t="shared" ref="D44:D68" si="4">C44*100/F8</f>
        <v>3.1722054380664653</v>
      </c>
      <c r="E44" s="178">
        <f t="shared" ref="E44:E68" si="5">I8-C8</f>
        <v>66</v>
      </c>
      <c r="F44" s="54">
        <f t="shared" ref="F44:F68" si="6">E44*100/C8</f>
        <v>10.696920583468396</v>
      </c>
    </row>
    <row r="45" spans="2:13" x14ac:dyDescent="0.25">
      <c r="B45" s="175" t="s">
        <v>15</v>
      </c>
      <c r="C45" s="50">
        <f t="shared" si="3"/>
        <v>-27</v>
      </c>
      <c r="D45" s="7">
        <f t="shared" si="4"/>
        <v>-1.1203319502074689</v>
      </c>
      <c r="E45" s="50">
        <f t="shared" si="5"/>
        <v>69</v>
      </c>
      <c r="F45" s="7">
        <f t="shared" si="6"/>
        <v>2.9818496110630943</v>
      </c>
    </row>
    <row r="46" spans="2:13" x14ac:dyDescent="0.25">
      <c r="B46" s="175" t="s">
        <v>16</v>
      </c>
      <c r="C46" s="50">
        <f t="shared" si="3"/>
        <v>91</v>
      </c>
      <c r="D46" s="7">
        <f t="shared" si="4"/>
        <v>9.4398340248962658</v>
      </c>
      <c r="E46" s="50">
        <f t="shared" si="5"/>
        <v>101</v>
      </c>
      <c r="F46" s="7">
        <f t="shared" si="6"/>
        <v>10.587002096436059</v>
      </c>
    </row>
    <row r="47" spans="2:13" x14ac:dyDescent="0.25">
      <c r="B47" s="175" t="s">
        <v>17</v>
      </c>
      <c r="C47" s="50">
        <f t="shared" si="3"/>
        <v>180</v>
      </c>
      <c r="D47" s="7">
        <f t="shared" si="4"/>
        <v>7.3140999593661116</v>
      </c>
      <c r="E47" s="50">
        <f t="shared" si="5"/>
        <v>199</v>
      </c>
      <c r="F47" s="7">
        <f t="shared" si="6"/>
        <v>8.1490581490581491</v>
      </c>
    </row>
    <row r="48" spans="2:13" x14ac:dyDescent="0.25">
      <c r="B48" s="175" t="s">
        <v>18</v>
      </c>
      <c r="C48" s="50">
        <f t="shared" si="3"/>
        <v>206</v>
      </c>
      <c r="D48" s="7">
        <f t="shared" si="4"/>
        <v>6.8896321070234112</v>
      </c>
      <c r="E48" s="50">
        <f t="shared" si="5"/>
        <v>274</v>
      </c>
      <c r="F48" s="7">
        <f t="shared" si="6"/>
        <v>9.377138945927447</v>
      </c>
    </row>
    <row r="49" spans="2:6" x14ac:dyDescent="0.25">
      <c r="B49" s="175" t="s">
        <v>19</v>
      </c>
      <c r="C49" s="50">
        <f t="shared" si="3"/>
        <v>98</v>
      </c>
      <c r="D49" s="7">
        <f t="shared" si="4"/>
        <v>13.611111111111111</v>
      </c>
      <c r="E49" s="50">
        <f t="shared" si="5"/>
        <v>105</v>
      </c>
      <c r="F49" s="7">
        <f t="shared" si="6"/>
        <v>14.726507713884994</v>
      </c>
    </row>
    <row r="50" spans="2:6" x14ac:dyDescent="0.25">
      <c r="B50" s="175" t="s">
        <v>20</v>
      </c>
      <c r="C50" s="50">
        <f t="shared" si="3"/>
        <v>210</v>
      </c>
      <c r="D50" s="7">
        <f t="shared" si="4"/>
        <v>20.588235294117649</v>
      </c>
      <c r="E50" s="50">
        <f t="shared" si="5"/>
        <v>257</v>
      </c>
      <c r="F50" s="7">
        <f t="shared" si="6"/>
        <v>26.413155190133608</v>
      </c>
    </row>
    <row r="51" spans="2:6" x14ac:dyDescent="0.25">
      <c r="B51" s="175" t="s">
        <v>21</v>
      </c>
      <c r="C51" s="50">
        <f t="shared" si="3"/>
        <v>18</v>
      </c>
      <c r="D51" s="7">
        <f t="shared" si="4"/>
        <v>1.6620498614958448</v>
      </c>
      <c r="E51" s="50">
        <f t="shared" si="5"/>
        <v>74</v>
      </c>
      <c r="F51" s="7">
        <f t="shared" si="6"/>
        <v>7.2054527750730282</v>
      </c>
    </row>
    <row r="52" spans="2:6" x14ac:dyDescent="0.25">
      <c r="B52" s="175" t="s">
        <v>22</v>
      </c>
      <c r="C52" s="50">
        <f t="shared" si="3"/>
        <v>76</v>
      </c>
      <c r="D52" s="7">
        <f t="shared" si="4"/>
        <v>4.4574780058651022</v>
      </c>
      <c r="E52" s="50">
        <f t="shared" si="5"/>
        <v>140</v>
      </c>
      <c r="F52" s="7">
        <f t="shared" si="6"/>
        <v>8.5313833028641071</v>
      </c>
    </row>
    <row r="53" spans="2:6" x14ac:dyDescent="0.25">
      <c r="B53" s="175" t="s">
        <v>23</v>
      </c>
      <c r="C53" s="50">
        <f t="shared" si="3"/>
        <v>27</v>
      </c>
      <c r="D53" s="7">
        <f t="shared" si="4"/>
        <v>3.0066815144766146</v>
      </c>
      <c r="E53" s="50">
        <f t="shared" si="5"/>
        <v>102</v>
      </c>
      <c r="F53" s="7">
        <f t="shared" si="6"/>
        <v>12.393681652490887</v>
      </c>
    </row>
    <row r="54" spans="2:6" x14ac:dyDescent="0.25">
      <c r="B54" s="175" t="s">
        <v>24</v>
      </c>
      <c r="C54" s="50">
        <f t="shared" si="3"/>
        <v>30</v>
      </c>
      <c r="D54" s="7">
        <f t="shared" si="4"/>
        <v>2.4529844644317254</v>
      </c>
      <c r="E54" s="50">
        <f t="shared" si="5"/>
        <v>59</v>
      </c>
      <c r="F54" s="7">
        <f t="shared" si="6"/>
        <v>4.941373534338358</v>
      </c>
    </row>
    <row r="55" spans="2:6" x14ac:dyDescent="0.25">
      <c r="B55" s="175" t="s">
        <v>25</v>
      </c>
      <c r="C55" s="50">
        <f t="shared" si="3"/>
        <v>187</v>
      </c>
      <c r="D55" s="7">
        <f t="shared" si="4"/>
        <v>12.550335570469798</v>
      </c>
      <c r="E55" s="50">
        <f t="shared" si="5"/>
        <v>292</v>
      </c>
      <c r="F55" s="7">
        <f t="shared" si="6"/>
        <v>21.08303249097473</v>
      </c>
    </row>
    <row r="56" spans="2:6" x14ac:dyDescent="0.25">
      <c r="B56" s="175" t="s">
        <v>26</v>
      </c>
      <c r="C56" s="50">
        <f t="shared" si="3"/>
        <v>87</v>
      </c>
      <c r="D56" s="7">
        <f t="shared" si="4"/>
        <v>5.2823315118397085</v>
      </c>
      <c r="E56" s="50">
        <f t="shared" si="5"/>
        <v>140</v>
      </c>
      <c r="F56" s="7">
        <f t="shared" si="6"/>
        <v>8.7829360100376412</v>
      </c>
    </row>
    <row r="57" spans="2:6" x14ac:dyDescent="0.25">
      <c r="B57" s="176" t="s">
        <v>27</v>
      </c>
      <c r="C57" s="50">
        <f t="shared" si="3"/>
        <v>78</v>
      </c>
      <c r="D57" s="7">
        <f t="shared" si="4"/>
        <v>4.5217391304347823</v>
      </c>
      <c r="E57" s="50">
        <f t="shared" si="5"/>
        <v>183</v>
      </c>
      <c r="F57" s="7">
        <f t="shared" si="6"/>
        <v>11.296296296296296</v>
      </c>
    </row>
    <row r="58" spans="2:6" x14ac:dyDescent="0.25">
      <c r="B58" s="176" t="s">
        <v>28</v>
      </c>
      <c r="C58" s="50">
        <f t="shared" si="3"/>
        <v>88</v>
      </c>
      <c r="D58" s="7">
        <f t="shared" si="4"/>
        <v>4.4852191641182468</v>
      </c>
      <c r="E58" s="50">
        <f t="shared" si="5"/>
        <v>151</v>
      </c>
      <c r="F58" s="7">
        <f t="shared" si="6"/>
        <v>7.9515534491837814</v>
      </c>
    </row>
    <row r="59" spans="2:6" x14ac:dyDescent="0.25">
      <c r="B59" s="176" t="s">
        <v>29</v>
      </c>
      <c r="C59" s="50">
        <f t="shared" si="3"/>
        <v>219</v>
      </c>
      <c r="D59" s="7">
        <f t="shared" si="4"/>
        <v>16.355489171023152</v>
      </c>
      <c r="E59" s="50">
        <f t="shared" si="5"/>
        <v>260</v>
      </c>
      <c r="F59" s="7">
        <f t="shared" si="6"/>
        <v>20.030816640986131</v>
      </c>
    </row>
    <row r="60" spans="2:6" x14ac:dyDescent="0.25">
      <c r="B60" s="176" t="s">
        <v>30</v>
      </c>
      <c r="C60" s="50">
        <f t="shared" si="3"/>
        <v>194</v>
      </c>
      <c r="D60" s="7">
        <f t="shared" si="4"/>
        <v>7.7075883988875642</v>
      </c>
      <c r="E60" s="50">
        <f t="shared" si="5"/>
        <v>205</v>
      </c>
      <c r="F60" s="7">
        <f t="shared" si="6"/>
        <v>8.1803671189146048</v>
      </c>
    </row>
    <row r="61" spans="2:6" x14ac:dyDescent="0.25">
      <c r="B61" s="176" t="s">
        <v>31</v>
      </c>
      <c r="C61" s="50">
        <f t="shared" si="3"/>
        <v>158</v>
      </c>
      <c r="D61" s="7">
        <f t="shared" si="4"/>
        <v>10.38107752956636</v>
      </c>
      <c r="E61" s="50">
        <f t="shared" si="5"/>
        <v>240</v>
      </c>
      <c r="F61" s="7">
        <f t="shared" si="6"/>
        <v>16.666666666666668</v>
      </c>
    </row>
    <row r="62" spans="2:6" x14ac:dyDescent="0.25">
      <c r="B62" s="176" t="s">
        <v>32</v>
      </c>
      <c r="C62" s="50">
        <f t="shared" si="3"/>
        <v>231</v>
      </c>
      <c r="D62" s="7">
        <f t="shared" si="4"/>
        <v>25.752508361204015</v>
      </c>
      <c r="E62" s="50">
        <f t="shared" si="5"/>
        <v>359</v>
      </c>
      <c r="F62" s="7">
        <f t="shared" si="6"/>
        <v>46.684005201560467</v>
      </c>
    </row>
    <row r="63" spans="2:6" x14ac:dyDescent="0.25">
      <c r="B63" s="176" t="s">
        <v>33</v>
      </c>
      <c r="C63" s="50">
        <f t="shared" si="3"/>
        <v>71</v>
      </c>
      <c r="D63" s="7">
        <f t="shared" si="4"/>
        <v>3.661681279009799</v>
      </c>
      <c r="E63" s="50">
        <f t="shared" si="5"/>
        <v>142</v>
      </c>
      <c r="F63" s="7">
        <f t="shared" si="6"/>
        <v>7.6017130620985007</v>
      </c>
    </row>
    <row r="64" spans="2:6" x14ac:dyDescent="0.25">
      <c r="B64" s="176" t="s">
        <v>34</v>
      </c>
      <c r="C64" s="50">
        <f t="shared" si="3"/>
        <v>50</v>
      </c>
      <c r="D64" s="7">
        <f t="shared" si="4"/>
        <v>7.8988941548183256</v>
      </c>
      <c r="E64" s="50">
        <f t="shared" si="5"/>
        <v>68</v>
      </c>
      <c r="F64" s="7">
        <f t="shared" si="6"/>
        <v>11.056910569105691</v>
      </c>
    </row>
    <row r="65" spans="2:6" x14ac:dyDescent="0.25">
      <c r="B65" s="176" t="s">
        <v>35</v>
      </c>
      <c r="C65" s="50">
        <f t="shared" si="3"/>
        <v>90</v>
      </c>
      <c r="D65" s="7">
        <f t="shared" si="4"/>
        <v>26.392961876832846</v>
      </c>
      <c r="E65" s="50">
        <f t="shared" si="5"/>
        <v>111</v>
      </c>
      <c r="F65" s="7">
        <f t="shared" si="6"/>
        <v>34.6875</v>
      </c>
    </row>
    <row r="66" spans="2:6" x14ac:dyDescent="0.25">
      <c r="B66" s="176" t="s">
        <v>36</v>
      </c>
      <c r="C66" s="50">
        <f t="shared" si="3"/>
        <v>-14</v>
      </c>
      <c r="D66" s="7">
        <f t="shared" si="4"/>
        <v>-0.92409240924092406</v>
      </c>
      <c r="E66" s="50">
        <f t="shared" si="5"/>
        <v>53</v>
      </c>
      <c r="F66" s="7">
        <f t="shared" si="6"/>
        <v>3.660220994475138</v>
      </c>
    </row>
    <row r="67" spans="2:6" x14ac:dyDescent="0.25">
      <c r="B67" s="176" t="s">
        <v>37</v>
      </c>
      <c r="C67" s="50">
        <f t="shared" si="3"/>
        <v>63</v>
      </c>
      <c r="D67" s="7">
        <f t="shared" si="4"/>
        <v>2.1935933147632314</v>
      </c>
      <c r="E67" s="50">
        <f t="shared" si="5"/>
        <v>-40</v>
      </c>
      <c r="F67" s="7">
        <f t="shared" si="6"/>
        <v>-1.3445378151260505</v>
      </c>
    </row>
    <row r="68" spans="2:6" ht="15.75" thickBot="1" x14ac:dyDescent="0.3">
      <c r="B68" s="177" t="s">
        <v>38</v>
      </c>
      <c r="C68" s="3">
        <f t="shared" si="3"/>
        <v>70</v>
      </c>
      <c r="D68" s="8">
        <f t="shared" si="4"/>
        <v>13.435700575815739</v>
      </c>
      <c r="E68" s="3">
        <f t="shared" si="5"/>
        <v>48</v>
      </c>
      <c r="F68" s="8">
        <f t="shared" si="6"/>
        <v>8.8397790055248624</v>
      </c>
    </row>
  </sheetData>
  <mergeCells count="15">
    <mergeCell ref="C5:C6"/>
    <mergeCell ref="D5:E5"/>
    <mergeCell ref="B39:B42"/>
    <mergeCell ref="E39:E42"/>
    <mergeCell ref="F39:F42"/>
    <mergeCell ref="B3:B6"/>
    <mergeCell ref="C39:C42"/>
    <mergeCell ref="D39:D42"/>
    <mergeCell ref="C4:E4"/>
    <mergeCell ref="I4:K4"/>
    <mergeCell ref="F4:H4"/>
    <mergeCell ref="I5:I6"/>
    <mergeCell ref="J5:K5"/>
    <mergeCell ref="F5:F6"/>
    <mergeCell ref="G5:H5"/>
  </mergeCells>
  <printOptions horizontalCentered="1" verticalCentered="1"/>
  <pageMargins left="0.31496062992125984" right="0.31496062992125984" top="0" bottom="0" header="0" footer="0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  <pageSetUpPr fitToPage="1"/>
  </sheetPr>
  <dimension ref="A1:K47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1.85546875" style="11" customWidth="1"/>
    <col min="2" max="2" width="7.28515625" style="11" customWidth="1"/>
    <col min="3" max="3" width="74.7109375" style="11" customWidth="1"/>
    <col min="4" max="4" width="12.5703125" style="11" customWidth="1"/>
    <col min="5" max="5" width="12.42578125" style="11" customWidth="1"/>
    <col min="6" max="6" width="14.140625" style="11" customWidth="1"/>
    <col min="7" max="7" width="8.42578125" style="11" customWidth="1"/>
    <col min="8" max="8" width="6.7109375" style="11" customWidth="1"/>
    <col min="9" max="9" width="5" style="11" customWidth="1"/>
    <col min="10" max="10" width="84.85546875" style="11" customWidth="1"/>
    <col min="11" max="11" width="8.140625" style="11" customWidth="1"/>
    <col min="12" max="16384" width="9.140625" style="11"/>
  </cols>
  <sheetData>
    <row r="1" spans="2:11" ht="12" customHeight="1" x14ac:dyDescent="0.25"/>
    <row r="2" spans="2:11" ht="16.5" customHeight="1" x14ac:dyDescent="0.25">
      <c r="C2" s="1138" t="s">
        <v>463</v>
      </c>
      <c r="D2" s="1138"/>
      <c r="E2" s="1138"/>
    </row>
    <row r="3" spans="2:11" ht="16.5" customHeight="1" x14ac:dyDescent="0.25">
      <c r="C3" s="1136" t="s">
        <v>464</v>
      </c>
      <c r="D3" s="1136"/>
      <c r="E3" s="1136"/>
    </row>
    <row r="4" spans="2:11" ht="14.25" customHeight="1" x14ac:dyDescent="0.25">
      <c r="C4" s="1137" t="s">
        <v>294</v>
      </c>
      <c r="D4" s="1137"/>
      <c r="E4" s="1137"/>
    </row>
    <row r="5" spans="2:11" ht="12" customHeight="1" thickBot="1" x14ac:dyDescent="0.3"/>
    <row r="6" spans="2:11" ht="45" customHeight="1" x14ac:dyDescent="0.25">
      <c r="B6" s="675"/>
      <c r="C6" s="704" t="s">
        <v>95</v>
      </c>
      <c r="D6" s="678" t="s">
        <v>324</v>
      </c>
      <c r="E6" s="680" t="s">
        <v>324</v>
      </c>
      <c r="F6" s="1139" t="s">
        <v>523</v>
      </c>
      <c r="I6" s="1135"/>
      <c r="J6" s="1135"/>
      <c r="K6" s="1135"/>
    </row>
    <row r="7" spans="2:11" ht="30" customHeight="1" thickBot="1" x14ac:dyDescent="0.3">
      <c r="B7" s="676" t="s">
        <v>326</v>
      </c>
      <c r="C7" s="677"/>
      <c r="D7" s="679" t="s">
        <v>521</v>
      </c>
      <c r="E7" s="681" t="s">
        <v>522</v>
      </c>
      <c r="F7" s="1140"/>
      <c r="I7" s="1135"/>
      <c r="J7" s="1135"/>
      <c r="K7" s="1135"/>
    </row>
    <row r="8" spans="2:11" ht="30" customHeight="1" thickBot="1" x14ac:dyDescent="0.3">
      <c r="B8" s="413" t="s">
        <v>91</v>
      </c>
      <c r="C8" s="415" t="s">
        <v>49</v>
      </c>
      <c r="D8" s="450">
        <f>SUM(D10,D11,D12,D13,D14,D15,D16,D17,D18,D19,D20,D21,D22,D23,D24,D25,D26,D27,D28,D29,D30)</f>
        <v>38752</v>
      </c>
      <c r="E8" s="455">
        <f>SUM(E10,E11,E12,E13,E14,E15,E16,E17,E18,E19,E20,E21,E22,E23,E24,E25,E26,E27,E28,E29,E30)</f>
        <v>31099</v>
      </c>
      <c r="F8" s="459">
        <f>SUM(F10,F11,F12,F13,F14,F15,F16,F17,F18,F19,F20,F21,F22,F23,F24,F25,F26,F27,F28,F29,F30)</f>
        <v>99.999999999999986</v>
      </c>
      <c r="I8" s="388"/>
      <c r="J8" s="388"/>
      <c r="K8" s="388"/>
    </row>
    <row r="9" spans="2:11" ht="18" customHeight="1" thickBot="1" x14ac:dyDescent="0.3">
      <c r="B9" s="686" t="s">
        <v>312</v>
      </c>
      <c r="C9" s="685" t="s">
        <v>265</v>
      </c>
      <c r="D9" s="684"/>
      <c r="E9" s="683"/>
      <c r="F9" s="682"/>
      <c r="I9" s="389"/>
      <c r="J9" s="389"/>
      <c r="K9" s="389"/>
    </row>
    <row r="10" spans="2:11" ht="18" customHeight="1" x14ac:dyDescent="0.25">
      <c r="B10" s="449" t="s">
        <v>147</v>
      </c>
      <c r="C10" s="454" t="s">
        <v>244</v>
      </c>
      <c r="D10" s="451">
        <v>429</v>
      </c>
      <c r="E10" s="456">
        <v>215</v>
      </c>
      <c r="F10" s="460">
        <f>SUM(E10/E31)*100</f>
        <v>0.69134055757419854</v>
      </c>
      <c r="H10" s="136">
        <v>1</v>
      </c>
      <c r="I10" s="381">
        <f>RANK(E10,$E$10:$E$30,1)+COUNTIF($E$10:E10,E10)-1</f>
        <v>6</v>
      </c>
      <c r="J10" s="687" t="str">
        <f>INDEX(C10:F30,MATCH(21,I10:I30,0),1)</f>
        <v>Przetwórstwo przemysłowe</v>
      </c>
      <c r="K10" s="688">
        <f>INDEX(C10:F30,MATCH(21,I10:I30,0),4)</f>
        <v>20.264317180616739</v>
      </c>
    </row>
    <row r="11" spans="2:11" ht="16.5" customHeight="1" x14ac:dyDescent="0.25">
      <c r="B11" s="414" t="s">
        <v>148</v>
      </c>
      <c r="C11" s="416" t="s">
        <v>245</v>
      </c>
      <c r="D11" s="452">
        <v>49</v>
      </c>
      <c r="E11" s="457">
        <v>55</v>
      </c>
      <c r="F11" s="461">
        <f>SUM(E11/E31)*100</f>
        <v>0.17685456123991125</v>
      </c>
      <c r="H11" s="136">
        <v>2</v>
      </c>
      <c r="I11" s="382">
        <f>RANK(E11,$E$10:$E$30,1)+COUNTIF($E$10:E11,E11)-1</f>
        <v>4</v>
      </c>
      <c r="J11" s="689" t="str">
        <f>INDEX(C10:F30,MATCH(20,I10:I30,0),1)</f>
        <v>Budownictwo</v>
      </c>
      <c r="K11" s="690">
        <f>INDEX(C10:F30,MATCH(20,I10:I30,0),4)</f>
        <v>13.887906363548666</v>
      </c>
    </row>
    <row r="12" spans="2:11" ht="17.25" customHeight="1" x14ac:dyDescent="0.25">
      <c r="B12" s="414" t="s">
        <v>327</v>
      </c>
      <c r="C12" s="416" t="s">
        <v>246</v>
      </c>
      <c r="D12" s="452">
        <v>7668</v>
      </c>
      <c r="E12" s="457">
        <v>6302</v>
      </c>
      <c r="F12" s="697">
        <f>SUM(E12/E31)*100</f>
        <v>20.264317180616739</v>
      </c>
      <c r="H12" s="136">
        <v>3</v>
      </c>
      <c r="I12" s="382">
        <f>RANK(E12,$E$10:$E$30,1)+COUNTIF($E$10:E12,E12)-1</f>
        <v>21</v>
      </c>
      <c r="J12" s="689" t="str">
        <f>INDEX(C10:F30,MATCH(19,I10:I30,0),1)</f>
        <v>Handel hurtowy i detaliczny; naprawa pojazdów samochodowych, włączając motocykle</v>
      </c>
      <c r="K12" s="690">
        <f>INDEX(C10:F30,MATCH(19,I10:I30,0),4)</f>
        <v>13.15154828129522</v>
      </c>
    </row>
    <row r="13" spans="2:11" ht="26.25" customHeight="1" x14ac:dyDescent="0.25">
      <c r="B13" s="417" t="s">
        <v>328</v>
      </c>
      <c r="C13" s="418" t="s">
        <v>247</v>
      </c>
      <c r="D13" s="452">
        <v>55</v>
      </c>
      <c r="E13" s="457">
        <v>40</v>
      </c>
      <c r="F13" s="461">
        <f>SUM(E13/E31)*100</f>
        <v>0.12862149908357182</v>
      </c>
      <c r="H13" s="136">
        <v>4</v>
      </c>
      <c r="I13" s="382">
        <f>RANK(E13,$E$10:$E$30,1)+COUNTIF($E$10:E13,E13)-1</f>
        <v>3</v>
      </c>
      <c r="J13" s="689" t="str">
        <f>INDEX(C10:F30,MATCH(18,I10:I30,0),1)</f>
        <v>Administracja publiczna i obrona narodowa; obowiązkowe zabezpieczenia społeczne</v>
      </c>
      <c r="K13" s="690">
        <f>INDEX(C10:F30,MATCH(18,I10:I30,0),4)</f>
        <v>9.3604295958069397</v>
      </c>
    </row>
    <row r="14" spans="2:11" ht="18" customHeight="1" x14ac:dyDescent="0.25">
      <c r="B14" s="417" t="s">
        <v>329</v>
      </c>
      <c r="C14" s="418" t="s">
        <v>248</v>
      </c>
      <c r="D14" s="452">
        <v>413</v>
      </c>
      <c r="E14" s="457">
        <v>357</v>
      </c>
      <c r="F14" s="461">
        <f>SUM(E14/E31)*100</f>
        <v>1.1479468793208785</v>
      </c>
      <c r="H14" s="136">
        <v>5</v>
      </c>
      <c r="I14" s="382">
        <f>RANK(E14,$E$10:$E$30,1)+COUNTIF($E$10:E14,E14)-1</f>
        <v>8</v>
      </c>
      <c r="J14" s="689" t="str">
        <f>INDEX(C10:F30,MATCH(17,I10:I30,0),1)</f>
        <v>Działalność w zakresie usług administrowania i działalność wspierająca</v>
      </c>
      <c r="K14" s="690">
        <f>INDEX(C10:F30,MATCH(17,I10:I30,0),4)</f>
        <v>6.8908968134023603</v>
      </c>
    </row>
    <row r="15" spans="2:11" ht="17.25" customHeight="1" x14ac:dyDescent="0.25">
      <c r="B15" s="414" t="s">
        <v>330</v>
      </c>
      <c r="C15" s="416" t="s">
        <v>249</v>
      </c>
      <c r="D15" s="452">
        <v>5314</v>
      </c>
      <c r="E15" s="457">
        <v>4319</v>
      </c>
      <c r="F15" s="697">
        <f>SUM(E15/E31)*100</f>
        <v>13.887906363548666</v>
      </c>
      <c r="H15" s="136">
        <v>6</v>
      </c>
      <c r="I15" s="385">
        <f>RANK(E15,$E$10:$E$30,1)+COUNTIF($E$10:E15,E15)-1</f>
        <v>20</v>
      </c>
      <c r="J15" s="691" t="str">
        <f>INDEX(C10:F30,MATCH(16,I10:I30,0),1)</f>
        <v>Edukacja</v>
      </c>
      <c r="K15" s="692">
        <f>INDEX(C10:F30,MATCH(16,I10:I30,0),4)</f>
        <v>6.5307566159683601</v>
      </c>
    </row>
    <row r="16" spans="2:11" ht="21" customHeight="1" x14ac:dyDescent="0.25">
      <c r="B16" s="414" t="s">
        <v>331</v>
      </c>
      <c r="C16" s="416" t="s">
        <v>250</v>
      </c>
      <c r="D16" s="452">
        <v>5483</v>
      </c>
      <c r="E16" s="457">
        <v>4090</v>
      </c>
      <c r="F16" s="697">
        <f>SUM(E16/E31)*100</f>
        <v>13.15154828129522</v>
      </c>
      <c r="H16" s="136">
        <v>7</v>
      </c>
      <c r="I16" s="385">
        <f>RANK(E16,$E$10:$E$30,1)+COUNTIF($E$10:E16,E16)-1</f>
        <v>19</v>
      </c>
      <c r="J16" s="691" t="str">
        <f>INDEX(C10:F30,MATCH(15,I10:I30,0),1)</f>
        <v>Opieka zdrowotna i pomoc społeczna</v>
      </c>
      <c r="K16" s="692">
        <f>INDEX(C10:F30,MATCH(15,I10:I30,0),4)</f>
        <v>6.3185311424804658</v>
      </c>
    </row>
    <row r="17" spans="2:11" ht="17.25" customHeight="1" x14ac:dyDescent="0.25">
      <c r="B17" s="414" t="s">
        <v>333</v>
      </c>
      <c r="C17" s="416" t="s">
        <v>251</v>
      </c>
      <c r="D17" s="452">
        <v>1754</v>
      </c>
      <c r="E17" s="457">
        <v>1225</v>
      </c>
      <c r="F17" s="461">
        <f>SUM(E17/E31)*100</f>
        <v>3.9390334094343871</v>
      </c>
      <c r="H17" s="136">
        <v>8</v>
      </c>
      <c r="I17" s="383">
        <f>RANK(E17,$E$10:$E$30,1)+COUNTIF($E$10:E17,E17)-1</f>
        <v>14</v>
      </c>
      <c r="J17" s="693" t="str">
        <f>INDEX(C10:F30,MATCH(14,I10:I30,0),1)</f>
        <v>Działalność związana z zakwaterowaniem i usługami gastronomicznymi</v>
      </c>
      <c r="K17" s="694">
        <f>INDEX(C10:F30,MATCH(14,I10:I30,0),4)</f>
        <v>3.9390334094343871</v>
      </c>
    </row>
    <row r="18" spans="2:11" ht="18" customHeight="1" x14ac:dyDescent="0.25">
      <c r="B18" s="414" t="s">
        <v>332</v>
      </c>
      <c r="C18" s="416" t="s">
        <v>252</v>
      </c>
      <c r="D18" s="452">
        <v>1649</v>
      </c>
      <c r="E18" s="457">
        <v>1006</v>
      </c>
      <c r="F18" s="461">
        <f>SUM(E18/E31)*100</f>
        <v>3.234830701951831</v>
      </c>
      <c r="H18" s="136">
        <v>9</v>
      </c>
      <c r="I18" s="384">
        <f>RANK(E18,$E$10:$E$30,1)+COUNTIF($E$10:E18,E18)-1</f>
        <v>10</v>
      </c>
      <c r="J18" s="695" t="str">
        <f>INDEX(C10:F30,MATCH(13,I10:I30,0),1)</f>
        <v>Pozostała działalność usługowa</v>
      </c>
      <c r="K18" s="696">
        <f>INDEX(C10:F30,MATCH(13,I10:I30,0),4)</f>
        <v>3.8618605099842442</v>
      </c>
    </row>
    <row r="19" spans="2:11" ht="15.75" customHeight="1" x14ac:dyDescent="0.25">
      <c r="B19" s="419" t="s">
        <v>334</v>
      </c>
      <c r="C19" s="420" t="s">
        <v>253</v>
      </c>
      <c r="D19" s="452">
        <v>708</v>
      </c>
      <c r="E19" s="457">
        <v>1148</v>
      </c>
      <c r="F19" s="461">
        <f>SUM(E19/E31)*100</f>
        <v>3.6914370236985112</v>
      </c>
      <c r="H19" s="136">
        <v>10</v>
      </c>
      <c r="I19" s="384">
        <f>RANK(E19,$E$10:$E$30,1)+COUNTIF($E$10:E19,E19)-1</f>
        <v>12</v>
      </c>
      <c r="J19" s="386" t="str">
        <f>INDEX(C10:F30,MATCH(12,I10:I30,0),1)</f>
        <v>Informacja i komunikacja</v>
      </c>
      <c r="K19" s="390">
        <f>INDEX(C10:F30,MATCH(12,I10:I30,0),4)</f>
        <v>3.6914370236985112</v>
      </c>
    </row>
    <row r="20" spans="2:11" ht="17.25" customHeight="1" x14ac:dyDescent="0.25">
      <c r="B20" s="419" t="s">
        <v>335</v>
      </c>
      <c r="C20" s="420" t="s">
        <v>266</v>
      </c>
      <c r="D20" s="452">
        <v>255</v>
      </c>
      <c r="E20" s="457">
        <v>240</v>
      </c>
      <c r="F20" s="461">
        <f>SUM(E20/E31)*100</f>
        <v>0.77172899450143095</v>
      </c>
      <c r="H20" s="136">
        <v>11</v>
      </c>
      <c r="I20" s="384">
        <f>RANK(E20,$E$10:$E$30,1)+COUNTIF($E$10:E20,E20)-1</f>
        <v>7</v>
      </c>
      <c r="J20" s="386" t="str">
        <f>INDEX(C10:F30,MATCH(11,I10:I30,0),1)</f>
        <v>Działalność profesjonalna, naukowa i techniczna</v>
      </c>
      <c r="K20" s="390">
        <f>INDEX(C10:F30,MATCH(11,I10:I30,0),4)</f>
        <v>3.5017203125502423</v>
      </c>
    </row>
    <row r="21" spans="2:11" ht="16.5" customHeight="1" x14ac:dyDescent="0.25">
      <c r="B21" s="421" t="s">
        <v>336</v>
      </c>
      <c r="C21" s="422" t="s">
        <v>254</v>
      </c>
      <c r="D21" s="452">
        <v>257</v>
      </c>
      <c r="E21" s="457">
        <v>197</v>
      </c>
      <c r="F21" s="461">
        <f>SUM(E21/E31)*100</f>
        <v>0.6334608829865912</v>
      </c>
      <c r="H21" s="136">
        <v>12</v>
      </c>
      <c r="I21" s="385">
        <f>RANK(E21,$E$10:$E$30,1)+COUNTIF($E$10:E21,E21)-1</f>
        <v>5</v>
      </c>
      <c r="J21" s="387" t="str">
        <f>INDEX(C10:F30,MATCH(10,I10:I30,0),1)</f>
        <v>Transport i gospodarka magazynowa</v>
      </c>
      <c r="K21" s="281">
        <f>INDEX(C10:F30,MATCH(10,I10:I30,0),4)</f>
        <v>3.234830701951831</v>
      </c>
    </row>
    <row r="22" spans="2:11" x14ac:dyDescent="0.25">
      <c r="B22" s="414" t="s">
        <v>337</v>
      </c>
      <c r="C22" s="416" t="s">
        <v>255</v>
      </c>
      <c r="D22" s="452">
        <v>1214</v>
      </c>
      <c r="E22" s="457">
        <v>1089</v>
      </c>
      <c r="F22" s="461">
        <f>SUM(E22/E31)*100</f>
        <v>3.5017203125502423</v>
      </c>
      <c r="H22" s="136">
        <v>13</v>
      </c>
      <c r="I22" s="384">
        <f>RANK(E22,$E$10:$E$30,1)+COUNTIF($E$10:E22,E22)-1</f>
        <v>11</v>
      </c>
      <c r="J22" s="386" t="str">
        <f>INDEX(C10:F30,MATCH(9,I10:I30,0),1)</f>
        <v>Działalność związana z kulturą, rozrywką i rekreacją</v>
      </c>
      <c r="K22" s="390">
        <f>INDEX(C10:F30,MATCH(9,I10:I30,0),4)</f>
        <v>1.8103475996012734</v>
      </c>
    </row>
    <row r="23" spans="2:11" ht="18" customHeight="1" x14ac:dyDescent="0.25">
      <c r="B23" s="414" t="s">
        <v>338</v>
      </c>
      <c r="C23" s="416" t="s">
        <v>256</v>
      </c>
      <c r="D23" s="452">
        <v>4514</v>
      </c>
      <c r="E23" s="457">
        <v>2143</v>
      </c>
      <c r="F23" s="697">
        <f>SUM(E23/E31)*100</f>
        <v>6.8908968134023603</v>
      </c>
      <c r="H23" s="136">
        <v>14</v>
      </c>
      <c r="I23" s="384">
        <f>RANK(E23,$E$10:$E$30,1)+COUNTIF($E$10:E23,E23)-1</f>
        <v>17</v>
      </c>
      <c r="J23" s="386" t="str">
        <f>INDEX(C10:F30,MATCH(8,I10:I30,0),1)</f>
        <v>Dostawa wody, gospodarowanie ściekami i odpadami oraz działalność związana z rekultywacją</v>
      </c>
      <c r="K23" s="390">
        <f>INDEX(C10:F30,MATCH(8,I10:I30,0),4)</f>
        <v>1.1479468793208785</v>
      </c>
    </row>
    <row r="24" spans="2:11" ht="17.25" customHeight="1" x14ac:dyDescent="0.25">
      <c r="B24" s="414" t="s">
        <v>264</v>
      </c>
      <c r="C24" s="416" t="s">
        <v>257</v>
      </c>
      <c r="D24" s="452">
        <v>2605</v>
      </c>
      <c r="E24" s="457">
        <v>2911</v>
      </c>
      <c r="F24" s="697">
        <f>SUM(E24/E31)*100</f>
        <v>9.3604295958069397</v>
      </c>
      <c r="H24" s="136">
        <v>15</v>
      </c>
      <c r="I24" s="384">
        <f>RANK(E24,$E$10:$E$30,1)+COUNTIF($E$10:E24,E24)-1</f>
        <v>18</v>
      </c>
      <c r="J24" s="386" t="str">
        <f>INDEX(C10:F30,MATCH(7,I10:I30,0),1)</f>
        <v>Działalność finansowa i ubezpieczeniowa</v>
      </c>
      <c r="K24" s="390">
        <f>INDEX(C10:F30,MATCH(7,I10:I30,0),4)</f>
        <v>0.77172899450143095</v>
      </c>
    </row>
    <row r="25" spans="2:11" ht="19.5" customHeight="1" x14ac:dyDescent="0.25">
      <c r="B25" s="414" t="s">
        <v>339</v>
      </c>
      <c r="C25" s="416" t="s">
        <v>258</v>
      </c>
      <c r="D25" s="452">
        <v>2206</v>
      </c>
      <c r="E25" s="457">
        <v>2031</v>
      </c>
      <c r="F25" s="697">
        <f>SUM(E25/E31)*100</f>
        <v>6.5307566159683601</v>
      </c>
      <c r="H25" s="136">
        <v>16</v>
      </c>
      <c r="I25" s="384">
        <f>RANK(E25,$E$10:$E$30,1)+COUNTIF($E$10:E25,E25)-1</f>
        <v>16</v>
      </c>
      <c r="J25" s="386" t="str">
        <f>INDEX(C10:F30,MATCH(6,I10:I30,0),1)</f>
        <v>Rolnictwo, leśnictwo, łowiectwo i rybactwo</v>
      </c>
      <c r="K25" s="390">
        <f>INDEX(C10:F30,MATCH(6,I10:I30,0),4)</f>
        <v>0.69134055757419854</v>
      </c>
    </row>
    <row r="26" spans="2:11" ht="17.25" customHeight="1" x14ac:dyDescent="0.25">
      <c r="B26" s="414" t="s">
        <v>340</v>
      </c>
      <c r="C26" s="416" t="s">
        <v>259</v>
      </c>
      <c r="D26" s="452">
        <v>2077</v>
      </c>
      <c r="E26" s="457">
        <v>1965</v>
      </c>
      <c r="F26" s="697">
        <f>SUM(E26/E31)*100</f>
        <v>6.3185311424804658</v>
      </c>
      <c r="H26" s="136">
        <v>17</v>
      </c>
      <c r="I26" s="384">
        <f>RANK(E26,$E$10:$E$30,1)+COUNTIF($E$10:E26,E26)-1</f>
        <v>15</v>
      </c>
      <c r="J26" s="386" t="str">
        <f>INDEX(C10:F30,MATCH(5,I10:I30,0),1)</f>
        <v>Działalność związana z obsługą rynku nieruchomości</v>
      </c>
      <c r="K26" s="390">
        <f>INDEX(C10:F30,MATCH(5,I10:I30,0),4)</f>
        <v>0.6334608829865912</v>
      </c>
    </row>
    <row r="27" spans="2:11" ht="17.25" customHeight="1" x14ac:dyDescent="0.25">
      <c r="B27" s="414" t="s">
        <v>341</v>
      </c>
      <c r="C27" s="416" t="s">
        <v>260</v>
      </c>
      <c r="D27" s="452">
        <v>585</v>
      </c>
      <c r="E27" s="457">
        <v>563</v>
      </c>
      <c r="F27" s="461">
        <f>SUM(E27/E31)*100</f>
        <v>1.8103475996012734</v>
      </c>
      <c r="H27" s="136">
        <v>18</v>
      </c>
      <c r="I27" s="385">
        <f>RANK(E27,$E$10:$E$30,1)+COUNTIF($E$10:E27,E27)-1</f>
        <v>9</v>
      </c>
      <c r="J27" s="387" t="str">
        <f>INDEX(C10:F30,MATCH(4,I10:I30,0),1)</f>
        <v>Górnictwo i wydobywanie</v>
      </c>
      <c r="K27" s="281">
        <f>INDEX(C10:F30,MATCH(4,I10:I30,0),4)</f>
        <v>0.17685456123991125</v>
      </c>
    </row>
    <row r="28" spans="2:11" ht="19.5" customHeight="1" x14ac:dyDescent="0.25">
      <c r="B28" s="414" t="s">
        <v>342</v>
      </c>
      <c r="C28" s="416" t="s">
        <v>261</v>
      </c>
      <c r="D28" s="452">
        <v>1513</v>
      </c>
      <c r="E28" s="457">
        <v>1201</v>
      </c>
      <c r="F28" s="461">
        <f>SUM(E28/E31)*100</f>
        <v>3.8618605099842442</v>
      </c>
      <c r="H28" s="136">
        <v>19</v>
      </c>
      <c r="I28" s="384">
        <f>RANK(E28,$E$10:$E$30,1)+COUNTIF($E$10:E28,E28)-1</f>
        <v>13</v>
      </c>
      <c r="J28" s="386" t="str">
        <f>INDEX(C10:F30,MATCH(3,I10:I30,0),1)</f>
        <v>Wytwarzanie i zaopatrywanie w energię elektryczną, gaz, parę wodną, gorącą wodę i powietrze do układów klimatyzacyjnych</v>
      </c>
      <c r="K28" s="390">
        <f>INDEX(C10:F30,MATCH(3,I10:I30,0),4)</f>
        <v>0.12862149908357182</v>
      </c>
    </row>
    <row r="29" spans="2:11" ht="26.25" customHeight="1" x14ac:dyDescent="0.25">
      <c r="B29" s="414" t="s">
        <v>343</v>
      </c>
      <c r="C29" s="416" t="s">
        <v>262</v>
      </c>
      <c r="D29" s="452">
        <v>1</v>
      </c>
      <c r="E29" s="457">
        <v>1</v>
      </c>
      <c r="F29" s="461">
        <f>SUM(E29/E31)*100</f>
        <v>3.2155374770892957E-3</v>
      </c>
      <c r="H29" s="136">
        <v>20</v>
      </c>
      <c r="I29" s="384">
        <f>RANK(E29,$E$10:$E$30,1)+COUNTIF($E$10:E29,E29)-1</f>
        <v>1</v>
      </c>
      <c r="J29" s="386" t="str">
        <f>INDEX(C10:F30,MATCH(2,I10:I30,0),1)</f>
        <v>Działalność niezidentyfikowana</v>
      </c>
      <c r="K29" s="390">
        <f>INDEX(C10:F30,MATCH(2,I10:I30,0),4)</f>
        <v>3.2155374770892957E-3</v>
      </c>
    </row>
    <row r="30" spans="2:11" ht="18.75" customHeight="1" thickBot="1" x14ac:dyDescent="0.3">
      <c r="B30" s="414" t="s">
        <v>344</v>
      </c>
      <c r="C30" s="416" t="s">
        <v>263</v>
      </c>
      <c r="D30" s="453">
        <v>3</v>
      </c>
      <c r="E30" s="458">
        <v>1</v>
      </c>
      <c r="F30" s="462">
        <f>SUM(E30/E31)*100</f>
        <v>3.2155374770892957E-3</v>
      </c>
      <c r="H30" s="136">
        <v>21</v>
      </c>
      <c r="I30" s="446">
        <f>RANK(E30,$E$10:$E$30,1)+COUNTIF($E$10:E30,E30)-1</f>
        <v>2</v>
      </c>
      <c r="J30" s="447" t="str">
        <f>INDEX(C10:F30,MATCH(1,I10:I30,0),1)</f>
        <v>Gospodarstwa domowe zatrudniające pracowników; gospodarstwa domowe produkujące wyroby i świadczące usługi na własne potrzeby</v>
      </c>
      <c r="K30" s="448">
        <f>INDEX(C10:F30,MATCH(1,I10:I30,0),4)</f>
        <v>3.2155374770892957E-3</v>
      </c>
    </row>
    <row r="31" spans="2:11" ht="16.5" customHeight="1" thickBot="1" x14ac:dyDescent="0.3">
      <c r="B31" s="698" t="s">
        <v>91</v>
      </c>
      <c r="C31" s="699" t="s">
        <v>49</v>
      </c>
      <c r="D31" s="700">
        <f>SUM(D10:D30)</f>
        <v>38752</v>
      </c>
      <c r="E31" s="701">
        <f>SUM(E10:E30)</f>
        <v>31099</v>
      </c>
      <c r="F31" s="702">
        <f>SUM(E31/E31)*100</f>
        <v>100</v>
      </c>
      <c r="I31" s="443"/>
      <c r="J31" s="444"/>
      <c r="K31" s="445"/>
    </row>
    <row r="32" spans="2:11" x14ac:dyDescent="0.25">
      <c r="C32" s="11" t="s">
        <v>547</v>
      </c>
      <c r="E32" s="337"/>
    </row>
    <row r="33" spans="1:8" x14ac:dyDescent="0.25">
      <c r="C33" s="11" t="s">
        <v>325</v>
      </c>
      <c r="E33" s="337"/>
    </row>
    <row r="34" spans="1:8" x14ac:dyDescent="0.25">
      <c r="F34" s="11" t="s">
        <v>147</v>
      </c>
      <c r="G34" s="337">
        <f>SUM(E10)</f>
        <v>215</v>
      </c>
      <c r="H34" s="285">
        <f>SUM(G34/G38)*100</f>
        <v>0.69134055757419854</v>
      </c>
    </row>
    <row r="35" spans="1:8" x14ac:dyDescent="0.25">
      <c r="F35" s="11" t="s">
        <v>345</v>
      </c>
      <c r="G35" s="337">
        <f>SUM(E11:E15)</f>
        <v>11073</v>
      </c>
      <c r="H35" s="703">
        <f>SUM(G35/G38)*100</f>
        <v>35.605646483809764</v>
      </c>
    </row>
    <row r="36" spans="1:8" x14ac:dyDescent="0.25">
      <c r="F36" s="11" t="s">
        <v>331</v>
      </c>
      <c r="G36" s="337">
        <f>SUM(E16)</f>
        <v>4090</v>
      </c>
      <c r="H36" s="285">
        <f>SUM(G36/G38)*100</f>
        <v>13.15154828129522</v>
      </c>
    </row>
    <row r="37" spans="1:8" x14ac:dyDescent="0.25">
      <c r="F37" s="11" t="s">
        <v>346</v>
      </c>
      <c r="G37" s="337">
        <f>SUM(E17:E30)</f>
        <v>15721</v>
      </c>
      <c r="H37" s="285">
        <f>SUM(G37/G38)*100</f>
        <v>50.551464677320809</v>
      </c>
    </row>
    <row r="38" spans="1:8" x14ac:dyDescent="0.25">
      <c r="G38" s="337">
        <f>SUM(G34:G37)</f>
        <v>31099</v>
      </c>
      <c r="H38" s="285">
        <f>SUM(H34:H37)</f>
        <v>100</v>
      </c>
    </row>
    <row r="40" spans="1:8" x14ac:dyDescent="0.25">
      <c r="F40" s="11" t="s">
        <v>147</v>
      </c>
      <c r="G40" s="337">
        <f>SUM(D10)</f>
        <v>429</v>
      </c>
      <c r="H40" s="285">
        <f>SUM(G40/G44)*100</f>
        <v>1.1070396366639141</v>
      </c>
    </row>
    <row r="41" spans="1:8" x14ac:dyDescent="0.25">
      <c r="F41" s="11" t="s">
        <v>345</v>
      </c>
      <c r="G41" s="337">
        <f>SUM(D11:D15)</f>
        <v>13499</v>
      </c>
      <c r="H41" s="703">
        <f>SUM(G41/G44)*100</f>
        <v>34.834331131296445</v>
      </c>
    </row>
    <row r="42" spans="1:8" x14ac:dyDescent="0.25">
      <c r="F42" s="11" t="s">
        <v>331</v>
      </c>
      <c r="G42" s="337">
        <f>SUM(D16)</f>
        <v>5483</v>
      </c>
      <c r="H42" s="285">
        <f>SUM(G42/G44)*100</f>
        <v>14.148947151114783</v>
      </c>
    </row>
    <row r="43" spans="1:8" x14ac:dyDescent="0.25">
      <c r="F43" s="11" t="s">
        <v>346</v>
      </c>
      <c r="G43" s="337">
        <f>SUM(D17:D30)</f>
        <v>19341</v>
      </c>
      <c r="H43" s="285">
        <f>SUM(G43/G44)*100</f>
        <v>49.909682080924853</v>
      </c>
    </row>
    <row r="44" spans="1:8" x14ac:dyDescent="0.25">
      <c r="G44" s="337">
        <f>SUM(G40:G43)</f>
        <v>38752</v>
      </c>
      <c r="H44" s="285">
        <f>SUM(H40:H43)</f>
        <v>100</v>
      </c>
    </row>
    <row r="47" spans="1:8" x14ac:dyDescent="0.25">
      <c r="A47" s="473"/>
    </row>
  </sheetData>
  <mergeCells count="7">
    <mergeCell ref="K6:K7"/>
    <mergeCell ref="C3:E3"/>
    <mergeCell ref="C4:E4"/>
    <mergeCell ref="C2:E2"/>
    <mergeCell ref="F6:F7"/>
    <mergeCell ref="I6:I7"/>
    <mergeCell ref="J6:J7"/>
  </mergeCells>
  <printOptions horizontalCentered="1"/>
  <pageMargins left="0.31496062992125984" right="0" top="1.0236220472440944" bottom="0" header="0" footer="0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59999389629810485"/>
    <pageSetUpPr fitToPage="1"/>
  </sheetPr>
  <dimension ref="B1:K20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4.42578125" style="11" customWidth="1"/>
    <col min="2" max="2" width="53.7109375" style="11" customWidth="1"/>
    <col min="3" max="3" width="9.28515625" style="11" customWidth="1"/>
    <col min="4" max="4" width="9.85546875" style="11" customWidth="1"/>
    <col min="5" max="5" width="10" style="11" customWidth="1"/>
    <col min="6" max="7" width="9.42578125" style="11" customWidth="1"/>
    <col min="8" max="8" width="12.5703125" style="11" customWidth="1"/>
    <col min="9" max="9" width="12.28515625" style="11" customWidth="1"/>
    <col min="10" max="10" width="2.7109375" style="11" customWidth="1"/>
    <col min="11" max="11" width="6.28515625" style="11" customWidth="1"/>
    <col min="12" max="16384" width="9.140625" style="11"/>
  </cols>
  <sheetData>
    <row r="1" spans="2:10" ht="12.75" customHeight="1" x14ac:dyDescent="0.25"/>
    <row r="2" spans="2:10" x14ac:dyDescent="0.25">
      <c r="B2" s="11" t="s">
        <v>465</v>
      </c>
    </row>
    <row r="3" spans="2:10" x14ac:dyDescent="0.25">
      <c r="B3" s="11" t="s">
        <v>450</v>
      </c>
    </row>
    <row r="4" spans="2:10" ht="12.75" customHeight="1" thickBot="1" x14ac:dyDescent="0.3"/>
    <row r="5" spans="2:10" ht="49.5" customHeight="1" x14ac:dyDescent="0.25">
      <c r="B5" s="1141" t="s">
        <v>146</v>
      </c>
      <c r="C5" s="1143" t="s">
        <v>164</v>
      </c>
      <c r="D5" s="1146" t="s">
        <v>98</v>
      </c>
      <c r="E5" s="1147"/>
      <c r="F5" s="1147"/>
      <c r="G5" s="1148"/>
      <c r="H5" s="1141" t="s">
        <v>556</v>
      </c>
      <c r="I5" s="1145"/>
      <c r="J5" s="366"/>
    </row>
    <row r="6" spans="2:10" ht="48" customHeight="1" thickBot="1" x14ac:dyDescent="0.3">
      <c r="B6" s="1142"/>
      <c r="C6" s="1144"/>
      <c r="D6" s="929" t="s">
        <v>417</v>
      </c>
      <c r="E6" s="707" t="s">
        <v>478</v>
      </c>
      <c r="F6" s="187" t="s">
        <v>479</v>
      </c>
      <c r="G6" s="856" t="s">
        <v>508</v>
      </c>
      <c r="H6" s="705" t="s">
        <v>350</v>
      </c>
      <c r="I6" s="706" t="s">
        <v>351</v>
      </c>
      <c r="J6" s="366"/>
    </row>
    <row r="7" spans="2:10" ht="36" customHeight="1" x14ac:dyDescent="0.25">
      <c r="B7" s="434" t="s">
        <v>153</v>
      </c>
      <c r="C7" s="438">
        <v>1</v>
      </c>
      <c r="D7" s="328">
        <v>524</v>
      </c>
      <c r="E7" s="188">
        <v>549</v>
      </c>
      <c r="F7" s="188">
        <v>579</v>
      </c>
      <c r="G7" s="857">
        <v>613</v>
      </c>
      <c r="H7" s="331">
        <f>SUM(G7)-E7</f>
        <v>64</v>
      </c>
      <c r="I7" s="333">
        <f t="shared" ref="I7:I19" si="0">SUM(G7-E7)/E7*100</f>
        <v>11.657559198542804</v>
      </c>
      <c r="J7" s="364"/>
    </row>
    <row r="8" spans="2:10" ht="24" customHeight="1" x14ac:dyDescent="0.25">
      <c r="B8" s="435" t="s">
        <v>154</v>
      </c>
      <c r="C8" s="439">
        <v>2</v>
      </c>
      <c r="D8" s="329">
        <v>7370</v>
      </c>
      <c r="E8" s="131">
        <v>7921</v>
      </c>
      <c r="F8" s="131">
        <v>7498</v>
      </c>
      <c r="G8" s="858">
        <v>8137</v>
      </c>
      <c r="H8" s="910">
        <f>SUM(G8)-E8</f>
        <v>216</v>
      </c>
      <c r="I8" s="206">
        <f t="shared" si="0"/>
        <v>2.7269284181290243</v>
      </c>
      <c r="J8" s="364"/>
    </row>
    <row r="9" spans="2:10" ht="23.25" customHeight="1" x14ac:dyDescent="0.25">
      <c r="B9" s="435" t="s">
        <v>155</v>
      </c>
      <c r="C9" s="439">
        <v>3</v>
      </c>
      <c r="D9" s="329">
        <v>9273</v>
      </c>
      <c r="E9" s="131">
        <v>9933</v>
      </c>
      <c r="F9" s="131">
        <v>9653</v>
      </c>
      <c r="G9" s="858">
        <v>10741</v>
      </c>
      <c r="H9" s="910">
        <f t="shared" ref="H9:H12" si="1">SUM(G9)-E9</f>
        <v>808</v>
      </c>
      <c r="I9" s="206">
        <f t="shared" si="0"/>
        <v>8.1345011577569721</v>
      </c>
      <c r="J9" s="364"/>
    </row>
    <row r="10" spans="2:10" ht="22.5" customHeight="1" x14ac:dyDescent="0.25">
      <c r="B10" s="435" t="s">
        <v>156</v>
      </c>
      <c r="C10" s="439">
        <v>4</v>
      </c>
      <c r="D10" s="329">
        <v>2852</v>
      </c>
      <c r="E10" s="131">
        <v>2980</v>
      </c>
      <c r="F10" s="131">
        <v>2976</v>
      </c>
      <c r="G10" s="858">
        <v>3205</v>
      </c>
      <c r="H10" s="910">
        <f t="shared" si="1"/>
        <v>225</v>
      </c>
      <c r="I10" s="206">
        <f t="shared" si="0"/>
        <v>7.550335570469799</v>
      </c>
      <c r="J10" s="364"/>
    </row>
    <row r="11" spans="2:10" ht="24.75" customHeight="1" x14ac:dyDescent="0.25">
      <c r="B11" s="435" t="s">
        <v>157</v>
      </c>
      <c r="C11" s="439">
        <v>5</v>
      </c>
      <c r="D11" s="329">
        <v>12069</v>
      </c>
      <c r="E11" s="131">
        <v>12529</v>
      </c>
      <c r="F11" s="131">
        <v>12202</v>
      </c>
      <c r="G11" s="858">
        <v>13235</v>
      </c>
      <c r="H11" s="910">
        <f t="shared" si="1"/>
        <v>706</v>
      </c>
      <c r="I11" s="206">
        <f t="shared" si="0"/>
        <v>5.6349269694309196</v>
      </c>
      <c r="J11" s="364"/>
    </row>
    <row r="12" spans="2:10" ht="24" customHeight="1" x14ac:dyDescent="0.25">
      <c r="B12" s="435" t="s">
        <v>158</v>
      </c>
      <c r="C12" s="439">
        <v>6</v>
      </c>
      <c r="D12" s="329">
        <v>854</v>
      </c>
      <c r="E12" s="131">
        <v>931</v>
      </c>
      <c r="F12" s="131">
        <v>847</v>
      </c>
      <c r="G12" s="858">
        <v>952</v>
      </c>
      <c r="H12" s="910">
        <f t="shared" si="1"/>
        <v>21</v>
      </c>
      <c r="I12" s="206">
        <f t="shared" si="0"/>
        <v>2.2556390977443606</v>
      </c>
      <c r="J12" s="364"/>
    </row>
    <row r="13" spans="2:10" ht="21.75" customHeight="1" x14ac:dyDescent="0.25">
      <c r="B13" s="435" t="s">
        <v>159</v>
      </c>
      <c r="C13" s="439">
        <v>7</v>
      </c>
      <c r="D13" s="329">
        <v>14412</v>
      </c>
      <c r="E13" s="131">
        <v>15218</v>
      </c>
      <c r="F13" s="131">
        <v>14782</v>
      </c>
      <c r="G13" s="858">
        <v>16283</v>
      </c>
      <c r="H13" s="910">
        <f t="shared" ref="H13:H19" si="2">SUM(G13)-E13</f>
        <v>1065</v>
      </c>
      <c r="I13" s="206">
        <f t="shared" si="0"/>
        <v>6.9982914969115519</v>
      </c>
      <c r="J13" s="364"/>
    </row>
    <row r="14" spans="2:10" ht="25.5" customHeight="1" x14ac:dyDescent="0.25">
      <c r="B14" s="435" t="s">
        <v>160</v>
      </c>
      <c r="C14" s="439">
        <v>8</v>
      </c>
      <c r="D14" s="329">
        <v>3344</v>
      </c>
      <c r="E14" s="131">
        <v>3549</v>
      </c>
      <c r="F14" s="131">
        <v>3385</v>
      </c>
      <c r="G14" s="858">
        <v>3752</v>
      </c>
      <c r="H14" s="910">
        <f t="shared" si="2"/>
        <v>203</v>
      </c>
      <c r="I14" s="206">
        <f t="shared" si="0"/>
        <v>5.7199211045364891</v>
      </c>
      <c r="J14" s="364"/>
    </row>
    <row r="15" spans="2:10" ht="21" customHeight="1" x14ac:dyDescent="0.25">
      <c r="B15" s="435" t="s">
        <v>161</v>
      </c>
      <c r="C15" s="439">
        <v>9</v>
      </c>
      <c r="D15" s="329">
        <v>5056</v>
      </c>
      <c r="E15" s="131">
        <v>5388</v>
      </c>
      <c r="F15" s="131">
        <v>5162</v>
      </c>
      <c r="G15" s="858">
        <v>5683</v>
      </c>
      <c r="H15" s="910">
        <f t="shared" si="2"/>
        <v>295</v>
      </c>
      <c r="I15" s="206">
        <f t="shared" si="0"/>
        <v>5.4751299183370454</v>
      </c>
      <c r="J15" s="364"/>
    </row>
    <row r="16" spans="2:10" ht="22.5" customHeight="1" thickBot="1" x14ac:dyDescent="0.3">
      <c r="B16" s="436" t="s">
        <v>168</v>
      </c>
      <c r="C16" s="440">
        <v>0</v>
      </c>
      <c r="D16" s="330">
        <v>37</v>
      </c>
      <c r="E16" s="192">
        <v>47</v>
      </c>
      <c r="F16" s="192">
        <v>56</v>
      </c>
      <c r="G16" s="859">
        <v>57</v>
      </c>
      <c r="H16" s="347">
        <f t="shared" si="2"/>
        <v>10</v>
      </c>
      <c r="I16" s="207">
        <f t="shared" si="0"/>
        <v>21.276595744680851</v>
      </c>
      <c r="J16" s="364"/>
    </row>
    <row r="17" spans="2:11" ht="24" customHeight="1" x14ac:dyDescent="0.25">
      <c r="B17" s="434" t="s">
        <v>162</v>
      </c>
      <c r="C17" s="441" t="s">
        <v>147</v>
      </c>
      <c r="D17" s="862">
        <v>8023</v>
      </c>
      <c r="E17" s="217">
        <v>8291</v>
      </c>
      <c r="F17" s="217">
        <v>8347</v>
      </c>
      <c r="G17" s="860">
        <v>9401</v>
      </c>
      <c r="H17" s="331">
        <f t="shared" si="2"/>
        <v>1110</v>
      </c>
      <c r="I17" s="333">
        <f t="shared" si="0"/>
        <v>13.388011096369556</v>
      </c>
      <c r="J17" s="364"/>
      <c r="K17" s="285">
        <f>SUM(G17/G19*100)</f>
        <v>13.046253764276496</v>
      </c>
    </row>
    <row r="18" spans="2:11" ht="26.25" customHeight="1" thickBot="1" x14ac:dyDescent="0.3">
      <c r="B18" s="437" t="s">
        <v>163</v>
      </c>
      <c r="C18" s="442" t="s">
        <v>148</v>
      </c>
      <c r="D18" s="332">
        <v>55791</v>
      </c>
      <c r="E18" s="133">
        <f>SUM(E7:E16)</f>
        <v>59045</v>
      </c>
      <c r="F18" s="133">
        <f>SUM(F7:F16)</f>
        <v>57140</v>
      </c>
      <c r="G18" s="861">
        <f>SUM(G7:G16)</f>
        <v>62658</v>
      </c>
      <c r="H18" s="909">
        <f t="shared" si="2"/>
        <v>3613</v>
      </c>
      <c r="I18" s="221">
        <f t="shared" si="0"/>
        <v>6.1190617325768484</v>
      </c>
      <c r="J18" s="364"/>
      <c r="K18" s="285">
        <f>SUM(E17/E19*100)</f>
        <v>12.312878697873352</v>
      </c>
    </row>
    <row r="19" spans="2:11" ht="23.25" customHeight="1" thickBot="1" x14ac:dyDescent="0.3">
      <c r="B19" s="911" t="s">
        <v>49</v>
      </c>
      <c r="C19" s="912" t="s">
        <v>149</v>
      </c>
      <c r="D19" s="913">
        <f>SUM(D17:D18)</f>
        <v>63814</v>
      </c>
      <c r="E19" s="914">
        <f>SUM(E17:E18)</f>
        <v>67336</v>
      </c>
      <c r="F19" s="914">
        <f>SUM(F17:F18)</f>
        <v>65487</v>
      </c>
      <c r="G19" s="915">
        <f>SUM(G17:G18)</f>
        <v>72059</v>
      </c>
      <c r="H19" s="913">
        <f t="shared" si="2"/>
        <v>4723</v>
      </c>
      <c r="I19" s="916">
        <f t="shared" si="0"/>
        <v>7.0140786503504815</v>
      </c>
      <c r="J19" s="365"/>
      <c r="K19" s="285">
        <f>SUM(H17/E17)*100</f>
        <v>13.388011096369556</v>
      </c>
    </row>
    <row r="20" spans="2:11" x14ac:dyDescent="0.25">
      <c r="D20" s="136">
        <f>SUM(D7:D17)</f>
        <v>63814</v>
      </c>
      <c r="E20" s="136">
        <f>SUM(E7:E17)</f>
        <v>67336</v>
      </c>
      <c r="F20" s="136">
        <f>SUM(F7:F17)</f>
        <v>65487</v>
      </c>
      <c r="G20" s="136">
        <f>SUM(G7:G17)</f>
        <v>72059</v>
      </c>
      <c r="H20" s="337">
        <f>SUM(H7:H17)</f>
        <v>4723</v>
      </c>
      <c r="I20" s="285"/>
    </row>
  </sheetData>
  <mergeCells count="4">
    <mergeCell ref="B5:B6"/>
    <mergeCell ref="C5:C6"/>
    <mergeCell ref="H5:I5"/>
    <mergeCell ref="D5:G5"/>
  </mergeCells>
  <printOptions horizontalCentered="1"/>
  <pageMargins left="0.6692913385826772" right="0.6692913385826772" top="1.3779527559055118" bottom="0" header="0.31496062992125984" footer="0.31496062992125984"/>
  <pageSetup paperSize="9" scale="9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59999389629810485"/>
  </sheetPr>
  <dimension ref="B1:G66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140625" style="11" customWidth="1"/>
    <col min="2" max="2" width="64.85546875" style="11" customWidth="1"/>
    <col min="3" max="3" width="10.85546875" style="11" customWidth="1"/>
    <col min="4" max="4" width="12.85546875" style="11" customWidth="1"/>
    <col min="5" max="5" width="9" style="11" customWidth="1"/>
    <col min="6" max="6" width="13.140625" style="11" customWidth="1"/>
    <col min="7" max="16384" width="9.140625" style="11"/>
  </cols>
  <sheetData>
    <row r="1" spans="2:7" ht="11.25" customHeight="1" x14ac:dyDescent="0.25"/>
    <row r="2" spans="2:7" x14ac:dyDescent="0.25">
      <c r="B2" s="11" t="s">
        <v>466</v>
      </c>
    </row>
    <row r="3" spans="2:7" x14ac:dyDescent="0.25">
      <c r="B3" s="11" t="s">
        <v>451</v>
      </c>
    </row>
    <row r="4" spans="2:7" ht="13.5" customHeight="1" thickBot="1" x14ac:dyDescent="0.3"/>
    <row r="5" spans="2:7" ht="75.75" customHeight="1" thickBot="1" x14ac:dyDescent="0.3">
      <c r="B5" s="708" t="s">
        <v>146</v>
      </c>
      <c r="C5" s="709" t="s">
        <v>164</v>
      </c>
      <c r="D5" s="709" t="s">
        <v>524</v>
      </c>
      <c r="E5" s="710" t="s">
        <v>352</v>
      </c>
      <c r="F5" s="709" t="s">
        <v>525</v>
      </c>
      <c r="G5" s="710" t="s">
        <v>353</v>
      </c>
    </row>
    <row r="6" spans="2:7" ht="28.5" x14ac:dyDescent="0.25">
      <c r="B6" s="211" t="s">
        <v>209</v>
      </c>
      <c r="C6" s="212">
        <v>1</v>
      </c>
      <c r="D6" s="212">
        <f>SUM(D7:D10)</f>
        <v>549</v>
      </c>
      <c r="E6" s="219">
        <f>SUM(D6/D60)*100</f>
        <v>0.92979930561436186</v>
      </c>
      <c r="F6" s="212">
        <f>SUM(F7:F10)</f>
        <v>613</v>
      </c>
      <c r="G6" s="219">
        <f>SUM(F6/F60)*100</f>
        <v>0.9783267898751955</v>
      </c>
    </row>
    <row r="7" spans="2:7" ht="30" x14ac:dyDescent="0.25">
      <c r="B7" s="189" t="s">
        <v>210</v>
      </c>
      <c r="C7" s="190">
        <v>11</v>
      </c>
      <c r="D7" s="190">
        <v>46</v>
      </c>
      <c r="E7" s="206">
        <f>SUM(D7)/D6*100</f>
        <v>8.3788706739526422</v>
      </c>
      <c r="F7" s="190">
        <v>51</v>
      </c>
      <c r="G7" s="206">
        <f>SUM(F7)/F6*100</f>
        <v>8.3197389885807507</v>
      </c>
    </row>
    <row r="8" spans="2:7" x14ac:dyDescent="0.25">
      <c r="B8" s="189" t="s">
        <v>165</v>
      </c>
      <c r="C8" s="190">
        <v>12</v>
      </c>
      <c r="D8" s="190">
        <v>106</v>
      </c>
      <c r="E8" s="206">
        <f>SUM(D8)/D6*100</f>
        <v>19.307832422586522</v>
      </c>
      <c r="F8" s="190">
        <v>121</v>
      </c>
      <c r="G8" s="206">
        <f>SUM(F8)/F6*100</f>
        <v>19.738988580750409</v>
      </c>
    </row>
    <row r="9" spans="2:7" x14ac:dyDescent="0.25">
      <c r="B9" s="189" t="s">
        <v>166</v>
      </c>
      <c r="C9" s="190">
        <v>13</v>
      </c>
      <c r="D9" s="190">
        <v>91</v>
      </c>
      <c r="E9" s="206">
        <f>SUM(D9)/D6*100</f>
        <v>16.575591985428051</v>
      </c>
      <c r="F9" s="190">
        <v>109</v>
      </c>
      <c r="G9" s="206">
        <f>SUM(F9)/F6*100</f>
        <v>17.781402936378466</v>
      </c>
    </row>
    <row r="10" spans="2:7" ht="18" customHeight="1" x14ac:dyDescent="0.25">
      <c r="B10" s="189" t="s">
        <v>167</v>
      </c>
      <c r="C10" s="190">
        <v>14</v>
      </c>
      <c r="D10" s="190">
        <v>306</v>
      </c>
      <c r="E10" s="207">
        <f>SUM(D10)/D6*100</f>
        <v>55.737704918032783</v>
      </c>
      <c r="F10" s="190">
        <v>332</v>
      </c>
      <c r="G10" s="207">
        <f>SUM(F10)/F6*100</f>
        <v>54.159869494290383</v>
      </c>
    </row>
    <row r="11" spans="2:7" x14ac:dyDescent="0.25">
      <c r="B11" s="208" t="s">
        <v>154</v>
      </c>
      <c r="C11" s="209">
        <v>2</v>
      </c>
      <c r="D11" s="210">
        <f>SUM(D12:D17)</f>
        <v>7921</v>
      </c>
      <c r="E11" s="220">
        <f>SUM(D11/D60)*100</f>
        <v>13.415191802862223</v>
      </c>
      <c r="F11" s="210">
        <f>SUM(F12:F17)</f>
        <v>8137</v>
      </c>
      <c r="G11" s="220">
        <f>SUM(F11/F60)*100</f>
        <v>12.986370455488524</v>
      </c>
    </row>
    <row r="12" spans="2:7" x14ac:dyDescent="0.25">
      <c r="B12" s="189" t="s">
        <v>170</v>
      </c>
      <c r="C12" s="190">
        <v>21</v>
      </c>
      <c r="D12" s="131">
        <v>1564</v>
      </c>
      <c r="E12" s="206">
        <f>SUM(D12)/D11*100</f>
        <v>19.744981694230525</v>
      </c>
      <c r="F12" s="131">
        <v>1581</v>
      </c>
      <c r="G12" s="206">
        <f>SUM(F12)/F11*100</f>
        <v>19.429765269755439</v>
      </c>
    </row>
    <row r="13" spans="2:7" x14ac:dyDescent="0.25">
      <c r="B13" s="189" t="s">
        <v>171</v>
      </c>
      <c r="C13" s="190">
        <v>22</v>
      </c>
      <c r="D13" s="190">
        <v>548</v>
      </c>
      <c r="E13" s="206">
        <f>SUM(D13)/D11*100</f>
        <v>6.9183183941421529</v>
      </c>
      <c r="F13" s="190">
        <v>548</v>
      </c>
      <c r="G13" s="206">
        <f>SUM(F13)/F11*100</f>
        <v>6.7346687968538781</v>
      </c>
    </row>
    <row r="14" spans="2:7" x14ac:dyDescent="0.25">
      <c r="B14" s="189" t="s">
        <v>172</v>
      </c>
      <c r="C14" s="190">
        <v>23</v>
      </c>
      <c r="D14" s="131">
        <v>974</v>
      </c>
      <c r="E14" s="206">
        <f>SUM(D14)/D11*100</f>
        <v>12.296427218785507</v>
      </c>
      <c r="F14" s="131">
        <v>981</v>
      </c>
      <c r="G14" s="206">
        <f>SUM(F14)/F11*100</f>
        <v>12.056040309696449</v>
      </c>
    </row>
    <row r="15" spans="2:7" x14ac:dyDescent="0.25">
      <c r="B15" s="189" t="s">
        <v>173</v>
      </c>
      <c r="C15" s="190">
        <v>24</v>
      </c>
      <c r="D15" s="131">
        <v>2722</v>
      </c>
      <c r="E15" s="206">
        <f>SUM(D15)/D11*100</f>
        <v>34.364347935866682</v>
      </c>
      <c r="F15" s="131">
        <v>2809</v>
      </c>
      <c r="G15" s="206">
        <f>SUM(F15)/F11*100</f>
        <v>34.521322354676172</v>
      </c>
    </row>
    <row r="16" spans="2:7" x14ac:dyDescent="0.25">
      <c r="B16" s="189" t="s">
        <v>174</v>
      </c>
      <c r="C16" s="190">
        <v>25</v>
      </c>
      <c r="D16" s="190">
        <v>298</v>
      </c>
      <c r="E16" s="206">
        <f>SUM(D16)/D11*100</f>
        <v>3.762151243529857</v>
      </c>
      <c r="F16" s="190">
        <v>371</v>
      </c>
      <c r="G16" s="206">
        <f>SUM(F16)/F11*100</f>
        <v>4.5594199336364749</v>
      </c>
    </row>
    <row r="17" spans="2:7" x14ac:dyDescent="0.25">
      <c r="B17" s="189" t="s">
        <v>175</v>
      </c>
      <c r="C17" s="190">
        <v>26</v>
      </c>
      <c r="D17" s="131">
        <v>1815</v>
      </c>
      <c r="E17" s="206">
        <f>SUM(D17)/D11*100</f>
        <v>22.913773513445271</v>
      </c>
      <c r="F17" s="131">
        <v>1847</v>
      </c>
      <c r="G17" s="206">
        <f>SUM(F17)/F11*100</f>
        <v>22.698783335381588</v>
      </c>
    </row>
    <row r="18" spans="2:7" x14ac:dyDescent="0.25">
      <c r="B18" s="208" t="s">
        <v>155</v>
      </c>
      <c r="C18" s="209">
        <v>3</v>
      </c>
      <c r="D18" s="210">
        <f>SUM(D19:D23)</f>
        <v>9933</v>
      </c>
      <c r="E18" s="220">
        <f>SUM(D18)/D60*100</f>
        <v>16.822762299940724</v>
      </c>
      <c r="F18" s="210">
        <f>SUM(F19:F23)</f>
        <v>10741</v>
      </c>
      <c r="G18" s="220">
        <f>SUM(F18)/F60*100</f>
        <v>17.142264355708768</v>
      </c>
    </row>
    <row r="19" spans="2:7" x14ac:dyDescent="0.25">
      <c r="B19" s="189" t="s">
        <v>176</v>
      </c>
      <c r="C19" s="190">
        <v>31</v>
      </c>
      <c r="D19" s="131">
        <v>4205</v>
      </c>
      <c r="E19" s="206">
        <f>SUM(D19)/D18*100</f>
        <v>42.333635356891172</v>
      </c>
      <c r="F19" s="131">
        <v>4578</v>
      </c>
      <c r="G19" s="206">
        <f>SUM(F19)/F18*100</f>
        <v>42.621729820314677</v>
      </c>
    </row>
    <row r="20" spans="2:7" x14ac:dyDescent="0.25">
      <c r="B20" s="189" t="s">
        <v>177</v>
      </c>
      <c r="C20" s="190">
        <v>32</v>
      </c>
      <c r="D20" s="131">
        <v>1476</v>
      </c>
      <c r="E20" s="206">
        <f>SUM(D20)/D18*100</f>
        <v>14.859559045605558</v>
      </c>
      <c r="F20" s="131">
        <v>1559</v>
      </c>
      <c r="G20" s="206">
        <f>SUM(F20)/F18*100</f>
        <v>14.514477236756354</v>
      </c>
    </row>
    <row r="21" spans="2:7" x14ac:dyDescent="0.25">
      <c r="B21" s="189" t="s">
        <v>178</v>
      </c>
      <c r="C21" s="190">
        <v>33</v>
      </c>
      <c r="D21" s="131">
        <v>2394</v>
      </c>
      <c r="E21" s="206">
        <f>SUM(D21)/D18*100</f>
        <v>24.101479915433405</v>
      </c>
      <c r="F21" s="131">
        <v>2523</v>
      </c>
      <c r="G21" s="206">
        <f>SUM(F21)/F18*100</f>
        <v>23.489433013685876</v>
      </c>
    </row>
    <row r="22" spans="2:7" x14ac:dyDescent="0.25">
      <c r="B22" s="189" t="s">
        <v>179</v>
      </c>
      <c r="C22" s="190">
        <v>34</v>
      </c>
      <c r="D22" s="131">
        <v>1231</v>
      </c>
      <c r="E22" s="206">
        <f>SUM(D22)/D18*100</f>
        <v>12.393033323265881</v>
      </c>
      <c r="F22" s="131">
        <v>1396</v>
      </c>
      <c r="G22" s="206">
        <f>SUM(F22)/F18*100</f>
        <v>12.996927660366818</v>
      </c>
    </row>
    <row r="23" spans="2:7" x14ac:dyDescent="0.25">
      <c r="B23" s="189" t="s">
        <v>180</v>
      </c>
      <c r="C23" s="190">
        <v>35</v>
      </c>
      <c r="D23" s="190">
        <v>627</v>
      </c>
      <c r="E23" s="206">
        <f>SUM(D23)/D18*100</f>
        <v>6.3122923588039868</v>
      </c>
      <c r="F23" s="190">
        <v>685</v>
      </c>
      <c r="G23" s="206">
        <f>SUM(F23)/F18*100</f>
        <v>6.3774322688762677</v>
      </c>
    </row>
    <row r="24" spans="2:7" x14ac:dyDescent="0.25">
      <c r="B24" s="208" t="s">
        <v>156</v>
      </c>
      <c r="C24" s="209">
        <v>4</v>
      </c>
      <c r="D24" s="210">
        <f>SUM(D25:D28)</f>
        <v>2980</v>
      </c>
      <c r="E24" s="220">
        <f>SUM(D24)/D60*100</f>
        <v>5.0469980523329658</v>
      </c>
      <c r="F24" s="210">
        <f>SUM(F25:F28)</f>
        <v>3205</v>
      </c>
      <c r="G24" s="220">
        <f>SUM(F24)/F60*100</f>
        <v>5.1150691053017967</v>
      </c>
    </row>
    <row r="25" spans="2:7" x14ac:dyDescent="0.25">
      <c r="B25" s="189" t="s">
        <v>181</v>
      </c>
      <c r="C25" s="190">
        <v>41</v>
      </c>
      <c r="D25" s="131">
        <v>976</v>
      </c>
      <c r="E25" s="206">
        <f>SUM(D25)/D24*100</f>
        <v>32.75167785234899</v>
      </c>
      <c r="F25" s="131">
        <v>1003</v>
      </c>
      <c r="G25" s="206">
        <f>SUM(F25)/F24*100</f>
        <v>31.294851794071764</v>
      </c>
    </row>
    <row r="26" spans="2:7" x14ac:dyDescent="0.25">
      <c r="B26" s="189" t="s">
        <v>182</v>
      </c>
      <c r="C26" s="190">
        <v>42</v>
      </c>
      <c r="D26" s="190">
        <v>699</v>
      </c>
      <c r="E26" s="206">
        <f>SUM(D26)/D24*100</f>
        <v>23.456375838926174</v>
      </c>
      <c r="F26" s="190">
        <v>761</v>
      </c>
      <c r="G26" s="206">
        <f>SUM(F26)/F24*100</f>
        <v>23.744149765990642</v>
      </c>
    </row>
    <row r="27" spans="2:7" x14ac:dyDescent="0.25">
      <c r="B27" s="189" t="s">
        <v>183</v>
      </c>
      <c r="C27" s="190">
        <v>43</v>
      </c>
      <c r="D27" s="131">
        <v>1173</v>
      </c>
      <c r="E27" s="206">
        <f>SUM(D27)/D24*100</f>
        <v>39.36241610738255</v>
      </c>
      <c r="F27" s="131">
        <v>1286</v>
      </c>
      <c r="G27" s="206">
        <f>SUM(F27)/F24*100</f>
        <v>40.124804992199685</v>
      </c>
    </row>
    <row r="28" spans="2:7" x14ac:dyDescent="0.25">
      <c r="B28" s="189" t="s">
        <v>184</v>
      </c>
      <c r="C28" s="190">
        <v>44</v>
      </c>
      <c r="D28" s="190">
        <v>132</v>
      </c>
      <c r="E28" s="206">
        <f>SUM(D28)/D24*100</f>
        <v>4.4295302013422821</v>
      </c>
      <c r="F28" s="190">
        <v>155</v>
      </c>
      <c r="G28" s="206">
        <f>SUM(F28)/F24*100</f>
        <v>4.8361934477379096</v>
      </c>
    </row>
    <row r="29" spans="2:7" x14ac:dyDescent="0.25">
      <c r="B29" s="208" t="s">
        <v>157</v>
      </c>
      <c r="C29" s="209">
        <v>5</v>
      </c>
      <c r="D29" s="210">
        <f>SUM(D30:D33)</f>
        <v>12529</v>
      </c>
      <c r="E29" s="220">
        <f>SUM(D29)/D60*100</f>
        <v>21.219408925395886</v>
      </c>
      <c r="F29" s="210">
        <f>SUM(F30:F33)</f>
        <v>13235</v>
      </c>
      <c r="G29" s="220">
        <f>SUM(F29)/F60*100</f>
        <v>21.122602061987298</v>
      </c>
    </row>
    <row r="30" spans="2:7" x14ac:dyDescent="0.25">
      <c r="B30" s="189" t="s">
        <v>185</v>
      </c>
      <c r="C30" s="190">
        <v>51</v>
      </c>
      <c r="D30" s="131">
        <v>5992</v>
      </c>
      <c r="E30" s="206">
        <f>SUM(D30)/D29*100</f>
        <v>47.825045893527019</v>
      </c>
      <c r="F30" s="131">
        <v>6361</v>
      </c>
      <c r="G30" s="206">
        <f>SUM(F30)/F29*100</f>
        <v>48.061956932376276</v>
      </c>
    </row>
    <row r="31" spans="2:7" x14ac:dyDescent="0.25">
      <c r="B31" s="189" t="s">
        <v>186</v>
      </c>
      <c r="C31" s="190">
        <v>52</v>
      </c>
      <c r="D31" s="131">
        <v>5880</v>
      </c>
      <c r="E31" s="206">
        <f>SUM(D31)/D29*100</f>
        <v>46.931119802059222</v>
      </c>
      <c r="F31" s="131">
        <v>6174</v>
      </c>
      <c r="G31" s="206">
        <f>SUM(F31)/F29*100</f>
        <v>46.649036645258782</v>
      </c>
    </row>
    <row r="32" spans="2:7" x14ac:dyDescent="0.25">
      <c r="B32" s="189" t="s">
        <v>187</v>
      </c>
      <c r="C32" s="190">
        <v>53</v>
      </c>
      <c r="D32" s="190">
        <v>356</v>
      </c>
      <c r="E32" s="206">
        <f>SUM(D32)/D29*100</f>
        <v>2.8414079335940619</v>
      </c>
      <c r="F32" s="190">
        <v>391</v>
      </c>
      <c r="G32" s="206">
        <f>SUM(F32)/F29*100</f>
        <v>2.9542878730638455</v>
      </c>
    </row>
    <row r="33" spans="2:7" x14ac:dyDescent="0.25">
      <c r="B33" s="189" t="s">
        <v>188</v>
      </c>
      <c r="C33" s="190">
        <v>54</v>
      </c>
      <c r="D33" s="190">
        <v>301</v>
      </c>
      <c r="E33" s="206">
        <f>SUM(D33)/D29*100</f>
        <v>2.4024263708196982</v>
      </c>
      <c r="F33" s="190">
        <v>309</v>
      </c>
      <c r="G33" s="206">
        <f>SUM(F33)/F29*100</f>
        <v>2.3347185493010953</v>
      </c>
    </row>
    <row r="34" spans="2:7" x14ac:dyDescent="0.25">
      <c r="B34" s="208" t="s">
        <v>158</v>
      </c>
      <c r="C34" s="209">
        <v>6</v>
      </c>
      <c r="D34" s="210">
        <f>SUM(D35:D37)</f>
        <v>931</v>
      </c>
      <c r="E34" s="220">
        <f>SUM(D34)/D60*100</f>
        <v>1.5767634854771784</v>
      </c>
      <c r="F34" s="210">
        <f>SUM(F35:F37)</f>
        <v>952</v>
      </c>
      <c r="G34" s="220">
        <f>SUM(F34)/F60*100</f>
        <v>1.5193590602955729</v>
      </c>
    </row>
    <row r="35" spans="2:7" x14ac:dyDescent="0.25">
      <c r="B35" s="189" t="s">
        <v>189</v>
      </c>
      <c r="C35" s="190">
        <v>61</v>
      </c>
      <c r="D35" s="131">
        <v>557</v>
      </c>
      <c r="E35" s="206">
        <f>SUM(D35)/D34*100</f>
        <v>59.828141783028997</v>
      </c>
      <c r="F35" s="131">
        <v>565</v>
      </c>
      <c r="G35" s="206">
        <f>SUM(F35)/F34*100</f>
        <v>59.34873949579832</v>
      </c>
    </row>
    <row r="36" spans="2:7" x14ac:dyDescent="0.25">
      <c r="B36" s="189" t="s">
        <v>190</v>
      </c>
      <c r="C36" s="190">
        <v>62</v>
      </c>
      <c r="D36" s="190">
        <v>229</v>
      </c>
      <c r="E36" s="206">
        <f>SUM(D36)/D34*100</f>
        <v>24.597207303974223</v>
      </c>
      <c r="F36" s="190">
        <v>230</v>
      </c>
      <c r="G36" s="206">
        <f>SUM(F36)/F34*100</f>
        <v>24.159663865546218</v>
      </c>
    </row>
    <row r="37" spans="2:7" x14ac:dyDescent="0.25">
      <c r="B37" s="189" t="s">
        <v>191</v>
      </c>
      <c r="C37" s="190">
        <v>63</v>
      </c>
      <c r="D37" s="190">
        <v>145</v>
      </c>
      <c r="E37" s="206">
        <f>SUM(D37)/D34*100</f>
        <v>15.574650912996777</v>
      </c>
      <c r="F37" s="190">
        <v>157</v>
      </c>
      <c r="G37" s="206">
        <f>SUM(F37)/F34*100</f>
        <v>16.491596638655462</v>
      </c>
    </row>
    <row r="38" spans="2:7" x14ac:dyDescent="0.25">
      <c r="B38" s="208" t="s">
        <v>159</v>
      </c>
      <c r="C38" s="209">
        <v>7</v>
      </c>
      <c r="D38" s="210">
        <f>SUM(D39:D43)</f>
        <v>15218</v>
      </c>
      <c r="E38" s="220">
        <f>SUM(D38)/D60*100</f>
        <v>25.773562537048011</v>
      </c>
      <c r="F38" s="210">
        <f>SUM(F39:F43)</f>
        <v>16283</v>
      </c>
      <c r="G38" s="220">
        <f>SUM(F38)/F60*100</f>
        <v>25.98710459957228</v>
      </c>
    </row>
    <row r="39" spans="2:7" x14ac:dyDescent="0.25">
      <c r="B39" s="189" t="s">
        <v>192</v>
      </c>
      <c r="C39" s="190">
        <v>71</v>
      </c>
      <c r="D39" s="131">
        <v>3915</v>
      </c>
      <c r="E39" s="206">
        <f>SUM(D39)/D38*100</f>
        <v>25.726113812590352</v>
      </c>
      <c r="F39" s="131">
        <v>4210</v>
      </c>
      <c r="G39" s="206">
        <f>SUM(F39)/F38*100</f>
        <v>25.855186390714241</v>
      </c>
    </row>
    <row r="40" spans="2:7" x14ac:dyDescent="0.25">
      <c r="B40" s="189" t="s">
        <v>193</v>
      </c>
      <c r="C40" s="190">
        <v>72</v>
      </c>
      <c r="D40" s="131">
        <v>5329</v>
      </c>
      <c r="E40" s="206">
        <f>SUM(D40)/D38*100</f>
        <v>35.017742147456957</v>
      </c>
      <c r="F40" s="131">
        <v>5717</v>
      </c>
      <c r="G40" s="206">
        <f>SUM(F40)/F38*100</f>
        <v>35.110237671190816</v>
      </c>
    </row>
    <row r="41" spans="2:7" x14ac:dyDescent="0.25">
      <c r="B41" s="189" t="s">
        <v>194</v>
      </c>
      <c r="C41" s="190">
        <v>73</v>
      </c>
      <c r="D41" s="131">
        <v>549</v>
      </c>
      <c r="E41" s="206">
        <f>SUM(D41)/D38*100</f>
        <v>3.6075699829149688</v>
      </c>
      <c r="F41" s="131">
        <v>547</v>
      </c>
      <c r="G41" s="206">
        <f>SUM(F41)/F38*100</f>
        <v>3.3593318184609715</v>
      </c>
    </row>
    <row r="42" spans="2:7" x14ac:dyDescent="0.25">
      <c r="B42" s="189" t="s">
        <v>195</v>
      </c>
      <c r="C42" s="190">
        <v>74</v>
      </c>
      <c r="D42" s="131">
        <v>1015</v>
      </c>
      <c r="E42" s="206">
        <f>SUM(D42)/D38*100</f>
        <v>6.6697332106715734</v>
      </c>
      <c r="F42" s="131">
        <v>1126</v>
      </c>
      <c r="G42" s="206">
        <f>SUM(F42)/F38*100</f>
        <v>6.9151876189891297</v>
      </c>
    </row>
    <row r="43" spans="2:7" ht="30" x14ac:dyDescent="0.25">
      <c r="B43" s="189" t="s">
        <v>196</v>
      </c>
      <c r="C43" s="190">
        <v>75</v>
      </c>
      <c r="D43" s="131">
        <v>4410</v>
      </c>
      <c r="E43" s="206">
        <f>SUM(D43)/D38*100</f>
        <v>28.978840846366143</v>
      </c>
      <c r="F43" s="131">
        <v>4683</v>
      </c>
      <c r="G43" s="206">
        <f>SUM(F43)/F38*100</f>
        <v>28.760056500644843</v>
      </c>
    </row>
    <row r="44" spans="2:7" x14ac:dyDescent="0.25">
      <c r="B44" s="208" t="s">
        <v>160</v>
      </c>
      <c r="C44" s="209">
        <v>8</v>
      </c>
      <c r="D44" s="210">
        <f>SUM(D45:D47)</f>
        <v>3549</v>
      </c>
      <c r="E44" s="220">
        <f>SUM(D44)/D60*100</f>
        <v>6.010669828097214</v>
      </c>
      <c r="F44" s="210">
        <f>SUM(F45:F47)</f>
        <v>3752</v>
      </c>
      <c r="G44" s="220">
        <f>SUM(F44)/F60*100</f>
        <v>5.9880621788119637</v>
      </c>
    </row>
    <row r="45" spans="2:7" x14ac:dyDescent="0.25">
      <c r="B45" s="189" t="s">
        <v>197</v>
      </c>
      <c r="C45" s="190">
        <v>81</v>
      </c>
      <c r="D45" s="131">
        <v>1826</v>
      </c>
      <c r="E45" s="206">
        <f>SUM(D45)/D44*100</f>
        <v>51.451112989574533</v>
      </c>
      <c r="F45" s="131">
        <v>1887</v>
      </c>
      <c r="G45" s="206">
        <f>SUM(F45)/F44*100</f>
        <v>50.293176972281451</v>
      </c>
    </row>
    <row r="46" spans="2:7" x14ac:dyDescent="0.25">
      <c r="B46" s="189" t="s">
        <v>198</v>
      </c>
      <c r="C46" s="190">
        <v>82</v>
      </c>
      <c r="D46" s="190">
        <v>363</v>
      </c>
      <c r="E46" s="206">
        <f>SUM(D46)/D44*100</f>
        <v>10.228233305156383</v>
      </c>
      <c r="F46" s="190">
        <v>379</v>
      </c>
      <c r="G46" s="206">
        <f>SUM(F46)/F44*100</f>
        <v>10.101279317697228</v>
      </c>
    </row>
    <row r="47" spans="2:7" x14ac:dyDescent="0.25">
      <c r="B47" s="189" t="s">
        <v>199</v>
      </c>
      <c r="C47" s="190">
        <v>83</v>
      </c>
      <c r="D47" s="131">
        <v>1360</v>
      </c>
      <c r="E47" s="206">
        <f>SUM(D47)/D44*100</f>
        <v>38.320653705269095</v>
      </c>
      <c r="F47" s="131">
        <v>1486</v>
      </c>
      <c r="G47" s="206">
        <f>SUM(F47)/F44*100</f>
        <v>39.605543710021323</v>
      </c>
    </row>
    <row r="48" spans="2:7" x14ac:dyDescent="0.25">
      <c r="B48" s="208" t="s">
        <v>161</v>
      </c>
      <c r="C48" s="209">
        <v>9</v>
      </c>
      <c r="D48" s="210">
        <f>SUM(D49:D54)</f>
        <v>5388</v>
      </c>
      <c r="E48" s="220">
        <f>SUM(D48)/D60*100</f>
        <v>9.1252434583792024</v>
      </c>
      <c r="F48" s="210">
        <f>SUM(F49:F54)</f>
        <v>5683</v>
      </c>
      <c r="G48" s="220">
        <f>SUM(F48)/F60*100</f>
        <v>9.0698713651888028</v>
      </c>
    </row>
    <row r="49" spans="2:7" x14ac:dyDescent="0.25">
      <c r="B49" s="189" t="s">
        <v>200</v>
      </c>
      <c r="C49" s="190">
        <v>91</v>
      </c>
      <c r="D49" s="131">
        <v>961</v>
      </c>
      <c r="E49" s="206">
        <f>SUM(D49)/D48*100</f>
        <v>17.835931700074241</v>
      </c>
      <c r="F49" s="131">
        <v>1000</v>
      </c>
      <c r="G49" s="206">
        <f>SUM(F49)/F48*100</f>
        <v>17.596339961288052</v>
      </c>
    </row>
    <row r="50" spans="2:7" ht="30" x14ac:dyDescent="0.25">
      <c r="B50" s="189" t="s">
        <v>201</v>
      </c>
      <c r="C50" s="190">
        <v>92</v>
      </c>
      <c r="D50" s="190">
        <v>359</v>
      </c>
      <c r="E50" s="206">
        <f>SUM(D50)/D48*100</f>
        <v>6.6629547141796586</v>
      </c>
      <c r="F50" s="190">
        <v>388</v>
      </c>
      <c r="G50" s="206">
        <f>SUM(F50)/F48*100</f>
        <v>6.8273799049797645</v>
      </c>
    </row>
    <row r="51" spans="2:7" ht="30" x14ac:dyDescent="0.25">
      <c r="B51" s="189" t="s">
        <v>202</v>
      </c>
      <c r="C51" s="190">
        <v>93</v>
      </c>
      <c r="D51" s="131">
        <v>2939</v>
      </c>
      <c r="E51" s="206">
        <f>SUM(D51)/D48*100</f>
        <v>54.547141796585009</v>
      </c>
      <c r="F51" s="131">
        <v>3105</v>
      </c>
      <c r="G51" s="206">
        <f>SUM(F51)/F48*100</f>
        <v>54.636635579799396</v>
      </c>
    </row>
    <row r="52" spans="2:7" ht="30" x14ac:dyDescent="0.25">
      <c r="B52" s="189" t="s">
        <v>203</v>
      </c>
      <c r="C52" s="190">
        <v>94</v>
      </c>
      <c r="D52" s="190">
        <v>408</v>
      </c>
      <c r="E52" s="206">
        <f>SUM(D52)/D48*100</f>
        <v>7.5723830734966597</v>
      </c>
      <c r="F52" s="190">
        <v>457</v>
      </c>
      <c r="G52" s="206">
        <f>SUM(F52)/F48*100</f>
        <v>8.0415273623086403</v>
      </c>
    </row>
    <row r="53" spans="2:7" x14ac:dyDescent="0.25">
      <c r="B53" s="189" t="s">
        <v>204</v>
      </c>
      <c r="C53" s="190">
        <v>95</v>
      </c>
      <c r="D53" s="190">
        <v>9</v>
      </c>
      <c r="E53" s="206">
        <f>SUM(D53)/D48*100</f>
        <v>0.16703786191536749</v>
      </c>
      <c r="F53" s="190">
        <v>12</v>
      </c>
      <c r="G53" s="206">
        <f>SUM(F53)/F48*100</f>
        <v>0.21115607953545662</v>
      </c>
    </row>
    <row r="54" spans="2:7" x14ac:dyDescent="0.25">
      <c r="B54" s="189" t="s">
        <v>205</v>
      </c>
      <c r="C54" s="190">
        <v>96</v>
      </c>
      <c r="D54" s="131">
        <v>712</v>
      </c>
      <c r="E54" s="206">
        <f>SUM(D54)/D48*100</f>
        <v>13.214550853749071</v>
      </c>
      <c r="F54" s="131">
        <v>721</v>
      </c>
      <c r="G54" s="206">
        <f>SUM(F54)/F48*100</f>
        <v>12.686961112088685</v>
      </c>
    </row>
    <row r="55" spans="2:7" x14ac:dyDescent="0.25">
      <c r="B55" s="208" t="s">
        <v>168</v>
      </c>
      <c r="C55" s="209">
        <v>0</v>
      </c>
      <c r="D55" s="209">
        <f>SUM(D56:D58)</f>
        <v>47</v>
      </c>
      <c r="E55" s="304">
        <f>SUM(D55)/D60*100</f>
        <v>7.9600304852231352E-2</v>
      </c>
      <c r="F55" s="209">
        <f>SUM(F56:F58)</f>
        <v>57</v>
      </c>
      <c r="G55" s="304">
        <f>SUM(F55)/F60*100</f>
        <v>9.0970027769797943E-2</v>
      </c>
    </row>
    <row r="56" spans="2:7" x14ac:dyDescent="0.25">
      <c r="B56" s="189" t="s">
        <v>206</v>
      </c>
      <c r="C56" s="190">
        <v>1</v>
      </c>
      <c r="D56" s="190">
        <v>0</v>
      </c>
      <c r="E56" s="206">
        <f>SUM(D56)/D55*100</f>
        <v>0</v>
      </c>
      <c r="F56" s="190">
        <v>1</v>
      </c>
      <c r="G56" s="206">
        <f>SUM(F56)/F55*100</f>
        <v>1.7543859649122806</v>
      </c>
    </row>
    <row r="57" spans="2:7" x14ac:dyDescent="0.25">
      <c r="B57" s="189" t="s">
        <v>207</v>
      </c>
      <c r="C57" s="190">
        <v>2</v>
      </c>
      <c r="D57" s="190">
        <v>2</v>
      </c>
      <c r="E57" s="206">
        <f>SUM(D57)/D55*100</f>
        <v>4.2553191489361701</v>
      </c>
      <c r="F57" s="190">
        <v>2</v>
      </c>
      <c r="G57" s="206">
        <f>SUM(F57)/F55*100</f>
        <v>3.5087719298245612</v>
      </c>
    </row>
    <row r="58" spans="2:7" ht="15.75" thickBot="1" x14ac:dyDescent="0.3">
      <c r="B58" s="191" t="s">
        <v>208</v>
      </c>
      <c r="C58" s="187">
        <v>3</v>
      </c>
      <c r="D58" s="187">
        <v>45</v>
      </c>
      <c r="E58" s="221">
        <f>SUM(D58)/D55*100</f>
        <v>95.744680851063833</v>
      </c>
      <c r="F58" s="187">
        <v>54</v>
      </c>
      <c r="G58" s="221">
        <f>SUM(F58)/F55*100</f>
        <v>94.73684210526315</v>
      </c>
    </row>
    <row r="59" spans="2:7" x14ac:dyDescent="0.25">
      <c r="B59" s="211" t="s">
        <v>211</v>
      </c>
      <c r="C59" s="212" t="s">
        <v>147</v>
      </c>
      <c r="D59" s="213">
        <v>8291</v>
      </c>
      <c r="E59" s="219">
        <f>SUM(D59)/D61*100</f>
        <v>12.312878697873352</v>
      </c>
      <c r="F59" s="213">
        <v>9401</v>
      </c>
      <c r="G59" s="219">
        <f>SUM(F59)/F61*100</f>
        <v>13.046253764276496</v>
      </c>
    </row>
    <row r="60" spans="2:7" ht="15.75" thickBot="1" x14ac:dyDescent="0.3">
      <c r="B60" s="214" t="s">
        <v>169</v>
      </c>
      <c r="C60" s="215" t="s">
        <v>148</v>
      </c>
      <c r="D60" s="216">
        <f>SUM(D7:D10,D12:D17,D19:D23,D25:D28,D30:D33,D35:D37,D39:D43,D45:D47,D49:D54,D56:D58)</f>
        <v>59045</v>
      </c>
      <c r="E60" s="222">
        <f>SUM(E6,E11,E18,E24,E29,E34,E38,E44,E48,E55)</f>
        <v>100.00000000000001</v>
      </c>
      <c r="F60" s="216">
        <f>SUM(F7:F10,F12:F17,F19:F23,F25:F28,F30:F33,F35:F37,F39:F43,F45:F47,F49:F54,F56:F58)</f>
        <v>62658</v>
      </c>
      <c r="G60" s="222">
        <f>SUM(G6,G11,G18,G24,G29,G34,G38,G44,G48,G55)</f>
        <v>99.999999999999986</v>
      </c>
    </row>
    <row r="61" spans="2:7" ht="19.5" thickBot="1" x14ac:dyDescent="0.3">
      <c r="B61" s="711" t="s">
        <v>49</v>
      </c>
      <c r="C61" s="712" t="s">
        <v>149</v>
      </c>
      <c r="D61" s="713">
        <f>SUM(D59:D60)</f>
        <v>67336</v>
      </c>
      <c r="E61" s="714" t="s">
        <v>91</v>
      </c>
      <c r="F61" s="713">
        <f>SUM(F59:F60)</f>
        <v>72059</v>
      </c>
      <c r="G61" s="714" t="s">
        <v>91</v>
      </c>
    </row>
    <row r="62" spans="2:7" x14ac:dyDescent="0.25">
      <c r="B62" s="193" t="s">
        <v>354</v>
      </c>
      <c r="C62" s="193"/>
      <c r="D62" s="193"/>
      <c r="E62" s="193"/>
    </row>
    <row r="63" spans="2:7" ht="14.25" customHeight="1" x14ac:dyDescent="0.25">
      <c r="B63" s="11" t="s">
        <v>355</v>
      </c>
    </row>
    <row r="64" spans="2:7" ht="13.5" customHeight="1" x14ac:dyDescent="0.25">
      <c r="B64" s="11" t="s">
        <v>356</v>
      </c>
    </row>
    <row r="65" spans="4:7" x14ac:dyDescent="0.25">
      <c r="D65" s="337">
        <f>SUM(D6,D11,D18,D24,D29,D34,D38,D44,D48,D55,D59)</f>
        <v>67336</v>
      </c>
      <c r="F65" s="337">
        <f>SUM(F6,F11,F18,F24,F29,F34,F38,F44,F48,F55,F59)</f>
        <v>72059</v>
      </c>
    </row>
    <row r="66" spans="4:7" x14ac:dyDescent="0.25">
      <c r="E66" s="337"/>
      <c r="G66" s="337"/>
    </row>
  </sheetData>
  <printOptions horizontalCentered="1" verticalCentered="1"/>
  <pageMargins left="1.0236220472440944" right="0.31496062992125984" top="0.31496062992125984" bottom="0" header="0" footer="0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59999389629810485"/>
  </sheetPr>
  <dimension ref="B2:AD46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85546875" style="11" customWidth="1"/>
    <col min="2" max="2" width="26" style="11" customWidth="1"/>
    <col min="3" max="3" width="11.28515625" style="11" customWidth="1"/>
    <col min="4" max="4" width="14.28515625" style="11" customWidth="1"/>
    <col min="5" max="5" width="7.42578125" style="11" customWidth="1"/>
    <col min="6" max="6" width="13.140625" style="11" customWidth="1"/>
    <col min="7" max="7" width="8.5703125" style="11" customWidth="1"/>
    <col min="8" max="8" width="3.85546875" style="11" customWidth="1"/>
    <col min="9" max="9" width="11.42578125" style="11" bestFit="1" customWidth="1"/>
    <col min="10" max="10" width="11" style="11" customWidth="1"/>
    <col min="11" max="11" width="11.140625" style="11" customWidth="1"/>
    <col min="12" max="12" width="6.5703125" style="11" customWidth="1"/>
    <col min="13" max="13" width="9.85546875" style="11" customWidth="1"/>
    <col min="14" max="14" width="9.140625" style="11"/>
    <col min="15" max="15" width="10.5703125" style="11" customWidth="1"/>
    <col min="16" max="16" width="11.28515625" style="11" customWidth="1"/>
    <col min="17" max="17" width="11.85546875" style="11" customWidth="1"/>
    <col min="18" max="18" width="7.7109375" style="377" customWidth="1"/>
    <col min="19" max="28" width="9.140625" style="11"/>
    <col min="29" max="29" width="12" style="11" customWidth="1"/>
    <col min="30" max="16384" width="9.140625" style="11"/>
  </cols>
  <sheetData>
    <row r="2" spans="2:18" x14ac:dyDescent="0.25">
      <c r="B2" s="11" t="s">
        <v>467</v>
      </c>
    </row>
    <row r="3" spans="2:18" x14ac:dyDescent="0.25">
      <c r="B3" s="11" t="s">
        <v>468</v>
      </c>
    </row>
    <row r="4" spans="2:18" x14ac:dyDescent="0.25">
      <c r="B4" s="11" t="s">
        <v>294</v>
      </c>
    </row>
    <row r="5" spans="2:18" ht="11.25" customHeight="1" thickBot="1" x14ac:dyDescent="0.3"/>
    <row r="6" spans="2:18" ht="22.5" customHeight="1" thickBot="1" x14ac:dyDescent="0.3">
      <c r="B6" s="956"/>
      <c r="C6" s="717"/>
      <c r="D6" s="958" t="s">
        <v>526</v>
      </c>
      <c r="E6" s="958"/>
      <c r="F6" s="959"/>
      <c r="G6" s="960"/>
    </row>
    <row r="7" spans="2:18" ht="21.75" customHeight="1" thickBot="1" x14ac:dyDescent="0.3">
      <c r="B7" s="715" t="s">
        <v>12</v>
      </c>
      <c r="C7" s="957"/>
      <c r="D7" s="1149" t="s">
        <v>48</v>
      </c>
      <c r="E7" s="1150"/>
      <c r="F7" s="1150"/>
      <c r="G7" s="955"/>
    </row>
    <row r="8" spans="2:18" ht="34.5" customHeight="1" thickBot="1" x14ac:dyDescent="0.3">
      <c r="B8" s="716"/>
      <c r="C8" s="718" t="s">
        <v>45</v>
      </c>
      <c r="D8" s="961" t="s">
        <v>46</v>
      </c>
      <c r="E8" s="962" t="s">
        <v>347</v>
      </c>
      <c r="F8" s="963" t="s">
        <v>47</v>
      </c>
      <c r="G8" s="718" t="s">
        <v>347</v>
      </c>
    </row>
    <row r="9" spans="2:18" ht="23.25" customHeight="1" thickBot="1" x14ac:dyDescent="0.3">
      <c r="B9" s="119" t="s">
        <v>13</v>
      </c>
      <c r="C9" s="138">
        <f>SUM(C10:C34)</f>
        <v>30414</v>
      </c>
      <c r="D9" s="120">
        <f>SUM(D10:D34)</f>
        <v>12250</v>
      </c>
      <c r="E9" s="964">
        <f>SUM(D9/C9)*100</f>
        <v>40.27750378115342</v>
      </c>
      <c r="F9" s="139">
        <f>SUM(F10:F34)</f>
        <v>6099</v>
      </c>
      <c r="G9" s="969">
        <f t="shared" ref="G9:G34" si="0">SUM(F9/C9)*100</f>
        <v>20.053264943775893</v>
      </c>
      <c r="H9" s="285"/>
    </row>
    <row r="10" spans="2:18" ht="14.25" customHeight="1" x14ac:dyDescent="0.25">
      <c r="B10" s="53" t="s">
        <v>14</v>
      </c>
      <c r="C10" s="34">
        <v>348</v>
      </c>
      <c r="D10" s="30">
        <v>261</v>
      </c>
      <c r="E10" s="965">
        <f>SUM(D10/C10)*100</f>
        <v>75</v>
      </c>
      <c r="F10" s="140">
        <v>112</v>
      </c>
      <c r="G10" s="374">
        <f t="shared" si="0"/>
        <v>32.183908045977013</v>
      </c>
      <c r="I10" s="719" t="s">
        <v>238</v>
      </c>
      <c r="J10" s="720" t="s">
        <v>287</v>
      </c>
      <c r="K10" s="721" t="s">
        <v>288</v>
      </c>
      <c r="L10" s="334"/>
      <c r="M10" s="719" t="s">
        <v>286</v>
      </c>
      <c r="N10" s="722" t="s">
        <v>311</v>
      </c>
      <c r="O10" s="721" t="s">
        <v>268</v>
      </c>
      <c r="P10" s="720" t="s">
        <v>310</v>
      </c>
      <c r="Q10" s="721" t="s">
        <v>269</v>
      </c>
    </row>
    <row r="11" spans="2:18" x14ac:dyDescent="0.25">
      <c r="B11" s="12" t="s">
        <v>15</v>
      </c>
      <c r="C11" s="32">
        <v>611</v>
      </c>
      <c r="D11" s="13">
        <v>553</v>
      </c>
      <c r="E11" s="966">
        <f>SUM(D11/C11)*100</f>
        <v>90.507364975450074</v>
      </c>
      <c r="F11" s="15">
        <v>180</v>
      </c>
      <c r="G11" s="349">
        <f t="shared" si="0"/>
        <v>29.45990180032733</v>
      </c>
      <c r="I11" s="493">
        <v>1998</v>
      </c>
      <c r="J11" s="491" t="s">
        <v>91</v>
      </c>
      <c r="K11" s="484" t="s">
        <v>91</v>
      </c>
      <c r="L11" s="335"/>
      <c r="M11" s="32" t="s">
        <v>389</v>
      </c>
      <c r="N11" s="62" t="s">
        <v>91</v>
      </c>
      <c r="O11" s="484" t="s">
        <v>91</v>
      </c>
      <c r="P11" s="491" t="s">
        <v>91</v>
      </c>
      <c r="Q11" s="484" t="s">
        <v>91</v>
      </c>
      <c r="R11" s="481" t="s">
        <v>91</v>
      </c>
    </row>
    <row r="12" spans="2:18" ht="14.25" customHeight="1" x14ac:dyDescent="0.25">
      <c r="B12" s="12" t="s">
        <v>16</v>
      </c>
      <c r="C12" s="32">
        <v>2424</v>
      </c>
      <c r="D12" s="13">
        <v>399</v>
      </c>
      <c r="E12" s="966">
        <f t="shared" ref="E12:E24" si="1">SUM(D12/C12)*100</f>
        <v>16.46039603960396</v>
      </c>
      <c r="F12" s="15">
        <v>232</v>
      </c>
      <c r="G12" s="349">
        <f t="shared" si="0"/>
        <v>9.5709570957095718</v>
      </c>
      <c r="I12" s="723">
        <v>1999</v>
      </c>
      <c r="J12" s="724">
        <v>38322</v>
      </c>
      <c r="K12" s="725">
        <v>14842</v>
      </c>
      <c r="L12" s="918">
        <f t="shared" ref="L12:L36" si="2">SUM(K12/J12)*100</f>
        <v>38.729711392933567</v>
      </c>
      <c r="M12" s="32" t="s">
        <v>390</v>
      </c>
      <c r="N12" s="485">
        <v>19411</v>
      </c>
      <c r="O12" s="484" t="s">
        <v>306</v>
      </c>
      <c r="P12" s="724"/>
      <c r="Q12" s="15">
        <f t="shared" ref="Q12:Q31" si="3">SUM(K12-P12)</f>
        <v>14842</v>
      </c>
      <c r="R12" s="482">
        <f>SUM(P12/N12*100)</f>
        <v>0</v>
      </c>
    </row>
    <row r="13" spans="2:18" ht="18" customHeight="1" x14ac:dyDescent="0.25">
      <c r="B13" s="12" t="s">
        <v>17</v>
      </c>
      <c r="C13" s="32">
        <v>1559</v>
      </c>
      <c r="D13" s="13">
        <v>763</v>
      </c>
      <c r="E13" s="966">
        <f>SUM(D13/C13)*100</f>
        <v>48.941629249518918</v>
      </c>
      <c r="F13" s="15">
        <v>366</v>
      </c>
      <c r="G13" s="349">
        <f t="shared" si="0"/>
        <v>23.476587556125722</v>
      </c>
      <c r="I13" s="493">
        <v>2000</v>
      </c>
      <c r="J13" s="492">
        <v>31625</v>
      </c>
      <c r="K13" s="488">
        <v>14996</v>
      </c>
      <c r="L13" s="918">
        <f t="shared" si="2"/>
        <v>47.418181818181822</v>
      </c>
      <c r="M13" s="32" t="s">
        <v>391</v>
      </c>
      <c r="N13" s="749">
        <v>16479</v>
      </c>
      <c r="O13" s="750">
        <f>SUM(N13-N12)/N12*100</f>
        <v>-15.104837463294007</v>
      </c>
      <c r="P13" s="724"/>
      <c r="Q13" s="15">
        <f t="shared" si="3"/>
        <v>14996</v>
      </c>
      <c r="R13" s="482">
        <f t="shared" ref="R13:R29" si="4">SUM(P13/N13*100)</f>
        <v>0</v>
      </c>
    </row>
    <row r="14" spans="2:18" x14ac:dyDescent="0.25">
      <c r="B14" s="12" t="s">
        <v>18</v>
      </c>
      <c r="C14" s="32">
        <v>2553</v>
      </c>
      <c r="D14" s="13">
        <v>835</v>
      </c>
      <c r="E14" s="966">
        <f>SUM(D14/C14)*100</f>
        <v>32.706619663141403</v>
      </c>
      <c r="F14" s="15">
        <v>296</v>
      </c>
      <c r="G14" s="349">
        <f t="shared" si="0"/>
        <v>11.594202898550725</v>
      </c>
      <c r="I14" s="493">
        <v>2001</v>
      </c>
      <c r="J14" s="930">
        <v>25129</v>
      </c>
      <c r="K14" s="488">
        <v>8521</v>
      </c>
      <c r="L14" s="918">
        <f t="shared" si="2"/>
        <v>33.90902940825341</v>
      </c>
      <c r="M14" s="32" t="s">
        <v>392</v>
      </c>
      <c r="N14" s="749">
        <v>12461</v>
      </c>
      <c r="O14" s="750">
        <f>SUM(N14-N12)/N12*100</f>
        <v>-35.804440781000466</v>
      </c>
      <c r="P14" s="492">
        <v>4362</v>
      </c>
      <c r="Q14" s="15">
        <f t="shared" si="3"/>
        <v>4159</v>
      </c>
      <c r="R14" s="482">
        <f t="shared" si="4"/>
        <v>35.005216274777304</v>
      </c>
    </row>
    <row r="15" spans="2:18" x14ac:dyDescent="0.25">
      <c r="B15" s="12" t="s">
        <v>19</v>
      </c>
      <c r="C15" s="32">
        <v>654</v>
      </c>
      <c r="D15" s="13">
        <v>341</v>
      </c>
      <c r="E15" s="966">
        <f t="shared" si="1"/>
        <v>52.140672782874617</v>
      </c>
      <c r="F15" s="15">
        <v>123</v>
      </c>
      <c r="G15" s="349">
        <f t="shared" si="0"/>
        <v>18.807339449541285</v>
      </c>
      <c r="I15" s="493">
        <v>2002</v>
      </c>
      <c r="J15" s="930">
        <v>28470</v>
      </c>
      <c r="K15" s="488">
        <v>12944</v>
      </c>
      <c r="L15" s="918">
        <f t="shared" si="2"/>
        <v>45.465402177730944</v>
      </c>
      <c r="M15" s="32" t="s">
        <v>393</v>
      </c>
      <c r="N15" s="749">
        <v>12658</v>
      </c>
      <c r="O15" s="750">
        <f>SUM(N15-N12)/N12*100</f>
        <v>-34.789552315697286</v>
      </c>
      <c r="P15" s="492">
        <v>4639</v>
      </c>
      <c r="Q15" s="15">
        <f t="shared" si="3"/>
        <v>8305</v>
      </c>
      <c r="R15" s="482">
        <f t="shared" si="4"/>
        <v>36.6487596776742</v>
      </c>
    </row>
    <row r="16" spans="2:18" ht="15.75" customHeight="1" x14ac:dyDescent="0.25">
      <c r="B16" s="12" t="s">
        <v>20</v>
      </c>
      <c r="C16" s="32">
        <v>656</v>
      </c>
      <c r="D16" s="13">
        <v>274</v>
      </c>
      <c r="E16" s="966">
        <f t="shared" si="1"/>
        <v>41.768292682926827</v>
      </c>
      <c r="F16" s="15">
        <v>110</v>
      </c>
      <c r="G16" s="349">
        <f t="shared" si="0"/>
        <v>16.76829268292683</v>
      </c>
      <c r="I16" s="493">
        <v>2003</v>
      </c>
      <c r="J16" s="492">
        <v>39334</v>
      </c>
      <c r="K16" s="488">
        <v>22556</v>
      </c>
      <c r="L16" s="918">
        <f t="shared" si="2"/>
        <v>57.3447907662582</v>
      </c>
      <c r="M16" s="32" t="s">
        <v>394</v>
      </c>
      <c r="N16" s="485">
        <v>19490</v>
      </c>
      <c r="O16" s="486">
        <f>SUM(N16-N12)/N12*100</f>
        <v>0.40698572974086861</v>
      </c>
      <c r="P16" s="492">
        <v>11201</v>
      </c>
      <c r="Q16" s="15">
        <f t="shared" si="3"/>
        <v>11355</v>
      </c>
      <c r="R16" s="482">
        <f t="shared" si="4"/>
        <v>57.470497691123654</v>
      </c>
    </row>
    <row r="17" spans="2:18" x14ac:dyDescent="0.25">
      <c r="B17" s="12" t="s">
        <v>21</v>
      </c>
      <c r="C17" s="32">
        <v>393</v>
      </c>
      <c r="D17" s="13">
        <v>243</v>
      </c>
      <c r="E17" s="966">
        <f t="shared" si="1"/>
        <v>61.832061068702295</v>
      </c>
      <c r="F17" s="15">
        <v>97</v>
      </c>
      <c r="G17" s="349">
        <f t="shared" si="0"/>
        <v>24.681933842239186</v>
      </c>
      <c r="I17" s="493">
        <v>2004</v>
      </c>
      <c r="J17" s="492">
        <v>40346</v>
      </c>
      <c r="K17" s="488">
        <v>20038</v>
      </c>
      <c r="L17" s="918">
        <f t="shared" si="2"/>
        <v>49.665394338967928</v>
      </c>
      <c r="M17" s="32" t="s">
        <v>395</v>
      </c>
      <c r="N17" s="485">
        <v>21329</v>
      </c>
      <c r="O17" s="486">
        <f>SUM(N17-N12)/N12*100</f>
        <v>9.8809953119365321</v>
      </c>
      <c r="P17" s="724"/>
      <c r="Q17" s="15">
        <f t="shared" si="3"/>
        <v>20038</v>
      </c>
      <c r="R17" s="482">
        <f t="shared" si="4"/>
        <v>0</v>
      </c>
    </row>
    <row r="18" spans="2:18" x14ac:dyDescent="0.25">
      <c r="B18" s="12" t="s">
        <v>22</v>
      </c>
      <c r="C18" s="32">
        <v>962</v>
      </c>
      <c r="D18" s="13">
        <v>582</v>
      </c>
      <c r="E18" s="966">
        <f>SUM(D18/C18)*100</f>
        <v>60.4989604989605</v>
      </c>
      <c r="F18" s="15">
        <v>191</v>
      </c>
      <c r="G18" s="349">
        <f t="shared" si="0"/>
        <v>19.854469854469855</v>
      </c>
      <c r="I18" s="493">
        <v>2005</v>
      </c>
      <c r="J18" s="492">
        <v>41016</v>
      </c>
      <c r="K18" s="488">
        <v>18757</v>
      </c>
      <c r="L18" s="918">
        <f t="shared" si="2"/>
        <v>45.730934269553345</v>
      </c>
      <c r="M18" s="32" t="s">
        <v>396</v>
      </c>
      <c r="N18" s="485">
        <v>21427</v>
      </c>
      <c r="O18" s="486">
        <f>SUM(N18-N12)/N12*100</f>
        <v>10.385863685539128</v>
      </c>
      <c r="P18" s="492">
        <v>10813</v>
      </c>
      <c r="Q18" s="15">
        <f>SUM(K18-P18)</f>
        <v>7944</v>
      </c>
      <c r="R18" s="482">
        <f t="shared" si="4"/>
        <v>50.46436738694171</v>
      </c>
    </row>
    <row r="19" spans="2:18" x14ac:dyDescent="0.25">
      <c r="B19" s="12" t="s">
        <v>23</v>
      </c>
      <c r="C19" s="32">
        <v>737</v>
      </c>
      <c r="D19" s="13">
        <v>491</v>
      </c>
      <c r="E19" s="966">
        <f>SUM(D19/C19)*100</f>
        <v>66.621438263229308</v>
      </c>
      <c r="F19" s="15">
        <v>218</v>
      </c>
      <c r="G19" s="349">
        <f t="shared" si="0"/>
        <v>29.579375848032562</v>
      </c>
      <c r="I19" s="493">
        <v>2006</v>
      </c>
      <c r="J19" s="492">
        <v>48932</v>
      </c>
      <c r="K19" s="488">
        <v>20054</v>
      </c>
      <c r="L19" s="918">
        <f t="shared" si="2"/>
        <v>40.983405542385356</v>
      </c>
      <c r="M19" s="32" t="s">
        <v>397</v>
      </c>
      <c r="N19" s="485">
        <v>25517</v>
      </c>
      <c r="O19" s="486">
        <f>SUM(N19-N12)/N12*100</f>
        <v>31.456390706300553</v>
      </c>
      <c r="P19" s="492">
        <v>9779</v>
      </c>
      <c r="Q19" s="15">
        <f t="shared" si="3"/>
        <v>10275</v>
      </c>
      <c r="R19" s="482">
        <f t="shared" si="4"/>
        <v>38.323470627424854</v>
      </c>
    </row>
    <row r="20" spans="2:18" x14ac:dyDescent="0.25">
      <c r="B20" s="12" t="s">
        <v>24</v>
      </c>
      <c r="C20" s="32">
        <v>837</v>
      </c>
      <c r="D20" s="13">
        <v>515</v>
      </c>
      <c r="E20" s="966">
        <f>SUM(D20/C20)*100</f>
        <v>61.529271206690559</v>
      </c>
      <c r="F20" s="15">
        <v>222</v>
      </c>
      <c r="G20" s="349">
        <f t="shared" si="0"/>
        <v>26.523297491039425</v>
      </c>
      <c r="I20" s="493">
        <v>2007</v>
      </c>
      <c r="J20" s="492">
        <v>49327</v>
      </c>
      <c r="K20" s="488">
        <v>24494</v>
      </c>
      <c r="L20" s="918">
        <f t="shared" si="2"/>
        <v>49.6563748048736</v>
      </c>
      <c r="M20" s="32" t="s">
        <v>398</v>
      </c>
      <c r="N20" s="485">
        <v>27392</v>
      </c>
      <c r="O20" s="486">
        <f>SUM(N20-N12)/N12*100</f>
        <v>41.115862140023694</v>
      </c>
      <c r="P20" s="492">
        <v>14414</v>
      </c>
      <c r="Q20" s="15">
        <f t="shared" si="3"/>
        <v>10080</v>
      </c>
      <c r="R20" s="482">
        <f t="shared" si="4"/>
        <v>52.621203271028037</v>
      </c>
    </row>
    <row r="21" spans="2:18" x14ac:dyDescent="0.25">
      <c r="B21" s="12" t="s">
        <v>25</v>
      </c>
      <c r="C21" s="32">
        <v>2398</v>
      </c>
      <c r="D21" s="13">
        <v>801</v>
      </c>
      <c r="E21" s="966">
        <f t="shared" si="1"/>
        <v>33.402835696413682</v>
      </c>
      <c r="F21" s="15">
        <v>232</v>
      </c>
      <c r="G21" s="349">
        <f t="shared" si="0"/>
        <v>9.6747289407839876</v>
      </c>
      <c r="I21" s="493">
        <v>2008</v>
      </c>
      <c r="J21" s="492">
        <v>51046</v>
      </c>
      <c r="K21" s="488">
        <v>28458</v>
      </c>
      <c r="L21" s="918">
        <f t="shared" si="2"/>
        <v>55.749715942483249</v>
      </c>
      <c r="M21" s="32" t="s">
        <v>399</v>
      </c>
      <c r="N21" s="485">
        <v>28169</v>
      </c>
      <c r="O21" s="486">
        <f>SUM(N21-N12)/N12*100</f>
        <v>45.118747102158565</v>
      </c>
      <c r="P21" s="492">
        <v>15639</v>
      </c>
      <c r="Q21" s="15">
        <f t="shared" si="3"/>
        <v>12819</v>
      </c>
      <c r="R21" s="482">
        <f t="shared" si="4"/>
        <v>55.518477759238884</v>
      </c>
    </row>
    <row r="22" spans="2:18" x14ac:dyDescent="0.25">
      <c r="B22" s="12" t="s">
        <v>26</v>
      </c>
      <c r="C22" s="32">
        <v>793</v>
      </c>
      <c r="D22" s="13">
        <v>541</v>
      </c>
      <c r="E22" s="966">
        <f t="shared" si="1"/>
        <v>68.221941992433798</v>
      </c>
      <c r="F22" s="15">
        <v>242</v>
      </c>
      <c r="G22" s="349">
        <f t="shared" si="0"/>
        <v>30.51702395964691</v>
      </c>
      <c r="I22" s="493">
        <v>2009</v>
      </c>
      <c r="J22" s="492">
        <v>47263</v>
      </c>
      <c r="K22" s="488">
        <v>28957</v>
      </c>
      <c r="L22" s="918">
        <f t="shared" si="2"/>
        <v>61.267799335632525</v>
      </c>
      <c r="M22" s="32" t="s">
        <v>400</v>
      </c>
      <c r="N22" s="485">
        <v>25139</v>
      </c>
      <c r="O22" s="486">
        <f>SUM(N22-N12)/N12*100</f>
        <v>29.509041265261963</v>
      </c>
      <c r="P22" s="492">
        <v>16435</v>
      </c>
      <c r="Q22" s="15">
        <f t="shared" si="3"/>
        <v>12522</v>
      </c>
      <c r="R22" s="482">
        <f t="shared" si="4"/>
        <v>65.376506623175146</v>
      </c>
    </row>
    <row r="23" spans="2:18" x14ac:dyDescent="0.25">
      <c r="B23" s="16" t="s">
        <v>27</v>
      </c>
      <c r="C23" s="204">
        <v>361</v>
      </c>
      <c r="D23" s="106">
        <v>284</v>
      </c>
      <c r="E23" s="967">
        <f t="shared" si="1"/>
        <v>78.67036011080333</v>
      </c>
      <c r="F23" s="15">
        <v>153</v>
      </c>
      <c r="G23" s="970">
        <f t="shared" si="0"/>
        <v>42.382271468144047</v>
      </c>
      <c r="I23" s="493">
        <v>2010</v>
      </c>
      <c r="J23" s="492">
        <v>57481</v>
      </c>
      <c r="K23" s="488">
        <v>35663</v>
      </c>
      <c r="L23" s="918">
        <f t="shared" si="2"/>
        <v>62.043109897183413</v>
      </c>
      <c r="M23" s="32" t="s">
        <v>401</v>
      </c>
      <c r="N23" s="485">
        <v>30966</v>
      </c>
      <c r="O23" s="486">
        <f>SUM(N23-N12)/N12*100</f>
        <v>59.528102622224509</v>
      </c>
      <c r="P23" s="492">
        <v>21368</v>
      </c>
      <c r="Q23" s="15">
        <f t="shared" si="3"/>
        <v>14295</v>
      </c>
      <c r="R23" s="482">
        <f t="shared" si="4"/>
        <v>69.004714848543571</v>
      </c>
    </row>
    <row r="24" spans="2:18" x14ac:dyDescent="0.25">
      <c r="B24" s="16" t="s">
        <v>28</v>
      </c>
      <c r="C24" s="204">
        <v>1645</v>
      </c>
      <c r="D24" s="106">
        <v>796</v>
      </c>
      <c r="E24" s="967">
        <f t="shared" si="1"/>
        <v>48.389057750759875</v>
      </c>
      <c r="F24" s="15">
        <v>369</v>
      </c>
      <c r="G24" s="970">
        <f t="shared" si="0"/>
        <v>22.43161094224924</v>
      </c>
      <c r="I24" s="493">
        <v>2011</v>
      </c>
      <c r="J24" s="492">
        <v>42554</v>
      </c>
      <c r="K24" s="488">
        <v>16768</v>
      </c>
      <c r="L24" s="918">
        <f t="shared" si="2"/>
        <v>39.404051323024866</v>
      </c>
      <c r="M24" s="32" t="s">
        <v>402</v>
      </c>
      <c r="N24" s="485">
        <v>24104</v>
      </c>
      <c r="O24" s="486">
        <f>SUM(N24-N12)/N12*100</f>
        <v>24.177013033846791</v>
      </c>
      <c r="P24" s="492">
        <v>10464</v>
      </c>
      <c r="Q24" s="15">
        <f t="shared" si="3"/>
        <v>6304</v>
      </c>
      <c r="R24" s="482">
        <f t="shared" si="4"/>
        <v>43.411881845336872</v>
      </c>
    </row>
    <row r="25" spans="2:18" x14ac:dyDescent="0.25">
      <c r="B25" s="16" t="s">
        <v>29</v>
      </c>
      <c r="C25" s="204">
        <v>998</v>
      </c>
      <c r="D25" s="106">
        <v>490</v>
      </c>
      <c r="E25" s="967">
        <f t="shared" ref="E25:E34" si="5">SUM(D25/C25)*100</f>
        <v>49.098196392785567</v>
      </c>
      <c r="F25" s="15">
        <v>329</v>
      </c>
      <c r="G25" s="970">
        <f t="shared" si="0"/>
        <v>32.965931863727455</v>
      </c>
      <c r="I25" s="493">
        <v>2012</v>
      </c>
      <c r="J25" s="492">
        <v>48689</v>
      </c>
      <c r="K25" s="488">
        <v>25146</v>
      </c>
      <c r="L25" s="918">
        <f t="shared" si="2"/>
        <v>51.646162377539071</v>
      </c>
      <c r="M25" s="32" t="s">
        <v>403</v>
      </c>
      <c r="N25" s="485">
        <v>24066</v>
      </c>
      <c r="O25" s="486">
        <f>SUM(N25-N12)/N12*100</f>
        <v>23.981247746123334</v>
      </c>
      <c r="P25" s="492">
        <v>12684</v>
      </c>
      <c r="Q25" s="15">
        <f t="shared" si="3"/>
        <v>12462</v>
      </c>
      <c r="R25" s="482">
        <f t="shared" si="4"/>
        <v>52.705061082024429</v>
      </c>
    </row>
    <row r="26" spans="2:18" x14ac:dyDescent="0.25">
      <c r="B26" s="16" t="s">
        <v>30</v>
      </c>
      <c r="C26" s="204">
        <v>1533</v>
      </c>
      <c r="D26" s="106">
        <v>444</v>
      </c>
      <c r="E26" s="967">
        <f t="shared" si="5"/>
        <v>28.962818003913892</v>
      </c>
      <c r="F26" s="15">
        <v>217</v>
      </c>
      <c r="G26" s="970">
        <f t="shared" si="0"/>
        <v>14.15525114155251</v>
      </c>
      <c r="I26" s="493">
        <v>2013</v>
      </c>
      <c r="J26" s="492">
        <v>54304</v>
      </c>
      <c r="K26" s="488">
        <v>26050</v>
      </c>
      <c r="L26" s="918">
        <f t="shared" si="2"/>
        <v>47.970683559222152</v>
      </c>
      <c r="M26" s="32" t="s">
        <v>404</v>
      </c>
      <c r="N26" s="751">
        <v>31113</v>
      </c>
      <c r="O26" s="752">
        <f>SUM(N26-N12)/N12*100</f>
        <v>60.285405182628402</v>
      </c>
      <c r="P26" s="492">
        <v>17521</v>
      </c>
      <c r="Q26" s="15">
        <f t="shared" si="3"/>
        <v>8529</v>
      </c>
      <c r="R26" s="482">
        <f t="shared" si="4"/>
        <v>56.314080930800628</v>
      </c>
    </row>
    <row r="27" spans="2:18" x14ac:dyDescent="0.25">
      <c r="B27" s="16" t="s">
        <v>31</v>
      </c>
      <c r="C27" s="204">
        <v>668</v>
      </c>
      <c r="D27" s="106">
        <v>363</v>
      </c>
      <c r="E27" s="967">
        <f t="shared" si="5"/>
        <v>54.341317365269461</v>
      </c>
      <c r="F27" s="15">
        <v>87</v>
      </c>
      <c r="G27" s="970">
        <f t="shared" si="0"/>
        <v>13.023952095808383</v>
      </c>
      <c r="I27" s="493">
        <v>2014</v>
      </c>
      <c r="J27" s="492">
        <v>60555</v>
      </c>
      <c r="K27" s="488">
        <v>27292</v>
      </c>
      <c r="L27" s="918">
        <f t="shared" si="2"/>
        <v>45.069771282305346</v>
      </c>
      <c r="M27" s="32" t="s">
        <v>405</v>
      </c>
      <c r="N27" s="751">
        <v>31924</v>
      </c>
      <c r="O27" s="752">
        <f>SUM(N27-N12)/N12*100</f>
        <v>64.46344856009479</v>
      </c>
      <c r="P27" s="492">
        <v>16121</v>
      </c>
      <c r="Q27" s="15">
        <f t="shared" si="3"/>
        <v>11171</v>
      </c>
      <c r="R27" s="482">
        <f t="shared" si="4"/>
        <v>50.498057887482773</v>
      </c>
    </row>
    <row r="28" spans="2:18" x14ac:dyDescent="0.25">
      <c r="B28" s="16" t="s">
        <v>32</v>
      </c>
      <c r="C28" s="204">
        <v>838</v>
      </c>
      <c r="D28" s="106">
        <v>470</v>
      </c>
      <c r="E28" s="967">
        <f t="shared" si="5"/>
        <v>56.085918854415276</v>
      </c>
      <c r="F28" s="15">
        <v>201</v>
      </c>
      <c r="G28" s="970">
        <f t="shared" si="0"/>
        <v>23.98568019093079</v>
      </c>
      <c r="I28" s="493">
        <v>2015</v>
      </c>
      <c r="J28" s="492">
        <v>61276</v>
      </c>
      <c r="K28" s="488">
        <v>28848</v>
      </c>
      <c r="L28" s="918">
        <f t="shared" si="2"/>
        <v>47.078791043801814</v>
      </c>
      <c r="M28" s="32" t="s">
        <v>406</v>
      </c>
      <c r="N28" s="751">
        <v>33364</v>
      </c>
      <c r="O28" s="752">
        <f>SUM(N28-N12)/N12*100</f>
        <v>71.881922621194178</v>
      </c>
      <c r="P28" s="492">
        <v>16952</v>
      </c>
      <c r="Q28" s="15">
        <f t="shared" si="3"/>
        <v>11896</v>
      </c>
      <c r="R28" s="482">
        <f t="shared" si="4"/>
        <v>50.809255484953844</v>
      </c>
    </row>
    <row r="29" spans="2:18" x14ac:dyDescent="0.25">
      <c r="B29" s="16" t="s">
        <v>33</v>
      </c>
      <c r="C29" s="204">
        <v>1360</v>
      </c>
      <c r="D29" s="106">
        <v>757</v>
      </c>
      <c r="E29" s="967">
        <f t="shared" si="5"/>
        <v>55.661764705882355</v>
      </c>
      <c r="F29" s="15">
        <v>336</v>
      </c>
      <c r="G29" s="970">
        <f t="shared" si="0"/>
        <v>24.705882352941178</v>
      </c>
      <c r="I29" s="493">
        <v>2016</v>
      </c>
      <c r="J29" s="492">
        <v>72410</v>
      </c>
      <c r="K29" s="725">
        <v>31407</v>
      </c>
      <c r="L29" s="918">
        <f t="shared" si="2"/>
        <v>43.373843391796711</v>
      </c>
      <c r="M29" s="32" t="s">
        <v>407</v>
      </c>
      <c r="N29" s="751">
        <v>38617</v>
      </c>
      <c r="O29" s="752">
        <f>SUM(N29-N12)/N12*100</f>
        <v>98.943897789912938</v>
      </c>
      <c r="P29" s="492">
        <v>19558</v>
      </c>
      <c r="Q29" s="15">
        <f t="shared" si="3"/>
        <v>11849</v>
      </c>
      <c r="R29" s="482">
        <f t="shared" si="4"/>
        <v>50.646088510241604</v>
      </c>
    </row>
    <row r="30" spans="2:18" x14ac:dyDescent="0.25">
      <c r="B30" s="16" t="s">
        <v>34</v>
      </c>
      <c r="C30" s="204">
        <v>656</v>
      </c>
      <c r="D30" s="106">
        <v>228</v>
      </c>
      <c r="E30" s="967">
        <f t="shared" si="5"/>
        <v>34.756097560975604</v>
      </c>
      <c r="F30" s="15">
        <v>160</v>
      </c>
      <c r="G30" s="970">
        <f t="shared" si="0"/>
        <v>24.390243902439025</v>
      </c>
      <c r="I30" s="493">
        <v>2017</v>
      </c>
      <c r="J30" s="724">
        <v>75836</v>
      </c>
      <c r="K30" s="488">
        <v>30828</v>
      </c>
      <c r="L30" s="918">
        <f t="shared" si="2"/>
        <v>40.650878210876101</v>
      </c>
      <c r="M30" s="32" t="s">
        <v>408</v>
      </c>
      <c r="N30" s="751">
        <v>41480</v>
      </c>
      <c r="O30" s="752">
        <f>SUM(N30-N12)/N12*100</f>
        <v>113.69326670444593</v>
      </c>
      <c r="P30" s="492">
        <v>17945</v>
      </c>
      <c r="Q30" s="15">
        <f t="shared" si="3"/>
        <v>12883</v>
      </c>
      <c r="R30" s="482">
        <f t="shared" ref="R30:R34" si="6">SUM(P30/N30*100)</f>
        <v>43.261812921890069</v>
      </c>
    </row>
    <row r="31" spans="2:18" x14ac:dyDescent="0.25">
      <c r="B31" s="16" t="s">
        <v>35</v>
      </c>
      <c r="C31" s="204">
        <v>739</v>
      </c>
      <c r="D31" s="106">
        <v>317</v>
      </c>
      <c r="E31" s="967">
        <f t="shared" si="5"/>
        <v>42.895805142083901</v>
      </c>
      <c r="F31" s="15">
        <v>158</v>
      </c>
      <c r="G31" s="970">
        <f t="shared" si="0"/>
        <v>21.380243572395127</v>
      </c>
      <c r="I31" s="493">
        <v>2018</v>
      </c>
      <c r="J31" s="492">
        <v>61438</v>
      </c>
      <c r="K31" s="488">
        <v>20784</v>
      </c>
      <c r="L31" s="918">
        <f t="shared" si="2"/>
        <v>33.829226211790747</v>
      </c>
      <c r="M31" s="32" t="s">
        <v>409</v>
      </c>
      <c r="N31" s="751">
        <v>34404</v>
      </c>
      <c r="O31" s="752">
        <f>SUM(N31-N12)/N12*100</f>
        <v>77.239709443099272</v>
      </c>
      <c r="P31" s="492">
        <v>12024</v>
      </c>
      <c r="Q31" s="15">
        <f t="shared" si="3"/>
        <v>8760</v>
      </c>
      <c r="R31" s="482">
        <f t="shared" si="6"/>
        <v>34.949424485524936</v>
      </c>
    </row>
    <row r="32" spans="2:18" x14ac:dyDescent="0.25">
      <c r="B32" s="16" t="s">
        <v>36</v>
      </c>
      <c r="C32" s="204">
        <v>766</v>
      </c>
      <c r="D32" s="106">
        <v>440</v>
      </c>
      <c r="E32" s="967">
        <f t="shared" si="5"/>
        <v>57.441253263707573</v>
      </c>
      <c r="F32" s="15">
        <v>266</v>
      </c>
      <c r="G32" s="970">
        <f t="shared" si="0"/>
        <v>34.725848563968668</v>
      </c>
      <c r="I32" s="493">
        <v>2019</v>
      </c>
      <c r="J32" s="495">
        <v>53791</v>
      </c>
      <c r="K32" s="489">
        <v>20491</v>
      </c>
      <c r="L32" s="918">
        <f t="shared" si="2"/>
        <v>38.093733152386086</v>
      </c>
      <c r="M32" s="32" t="s">
        <v>410</v>
      </c>
      <c r="N32" s="751">
        <v>31188</v>
      </c>
      <c r="O32" s="752">
        <f>SUM(N32-N12)/N12*100</f>
        <v>60.671784039977325</v>
      </c>
      <c r="P32" s="492">
        <v>12447</v>
      </c>
      <c r="Q32" s="15">
        <f t="shared" ref="Q32:Q38" si="7">SUM(K32-P32)</f>
        <v>8044</v>
      </c>
      <c r="R32" s="482">
        <f t="shared" si="6"/>
        <v>39.909580607926124</v>
      </c>
    </row>
    <row r="33" spans="2:30" x14ac:dyDescent="0.25">
      <c r="B33" s="16" t="s">
        <v>37</v>
      </c>
      <c r="C33" s="204">
        <v>5386</v>
      </c>
      <c r="D33" s="106">
        <v>819</v>
      </c>
      <c r="E33" s="967">
        <f t="shared" si="5"/>
        <v>15.206089862606758</v>
      </c>
      <c r="F33" s="15">
        <v>1056</v>
      </c>
      <c r="G33" s="970">
        <f t="shared" si="0"/>
        <v>19.606386929075381</v>
      </c>
      <c r="I33" s="493">
        <v>2020</v>
      </c>
      <c r="J33" s="930">
        <v>37090</v>
      </c>
      <c r="K33" s="488">
        <v>14301</v>
      </c>
      <c r="L33" s="800">
        <f t="shared" si="2"/>
        <v>38.557562685359933</v>
      </c>
      <c r="M33" s="493" t="s">
        <v>411</v>
      </c>
      <c r="N33" s="749">
        <v>15976</v>
      </c>
      <c r="O33" s="572">
        <f>SUM(N33-N12)/N12*100</f>
        <v>-17.696151666580807</v>
      </c>
      <c r="P33" s="492">
        <v>6536</v>
      </c>
      <c r="Q33" s="15">
        <f t="shared" si="7"/>
        <v>7765</v>
      </c>
      <c r="R33" s="482">
        <f t="shared" si="6"/>
        <v>40.911367050575862</v>
      </c>
    </row>
    <row r="34" spans="2:30" ht="15.75" thickBot="1" x14ac:dyDescent="0.3">
      <c r="B34" s="17" t="s">
        <v>38</v>
      </c>
      <c r="C34" s="205">
        <v>539</v>
      </c>
      <c r="D34" s="108">
        <v>243</v>
      </c>
      <c r="E34" s="968">
        <f t="shared" si="5"/>
        <v>45.083487940630796</v>
      </c>
      <c r="F34" s="20">
        <v>146</v>
      </c>
      <c r="G34" s="971">
        <f t="shared" si="0"/>
        <v>27.087198515769945</v>
      </c>
      <c r="I34" s="493">
        <v>2021</v>
      </c>
      <c r="J34" s="492">
        <v>50760</v>
      </c>
      <c r="K34" s="488">
        <v>17820</v>
      </c>
      <c r="L34" s="800">
        <f t="shared" si="2"/>
        <v>35.106382978723403</v>
      </c>
      <c r="M34" s="493" t="s">
        <v>412</v>
      </c>
      <c r="N34" s="485">
        <v>24927</v>
      </c>
      <c r="O34" s="25">
        <f>SUM(N34-N12)/N12*100</f>
        <v>28.416877028489001</v>
      </c>
      <c r="P34" s="492">
        <v>9903</v>
      </c>
      <c r="Q34" s="15">
        <f t="shared" si="7"/>
        <v>7917</v>
      </c>
      <c r="R34" s="482">
        <f t="shared" si="6"/>
        <v>39.728005776868457</v>
      </c>
    </row>
    <row r="35" spans="2:30" x14ac:dyDescent="0.25">
      <c r="C35" s="337">
        <f>SUM(C10:C34)</f>
        <v>30414</v>
      </c>
      <c r="D35" s="285"/>
      <c r="E35" s="285"/>
      <c r="F35" s="285">
        <f>SUM(F9/C9*100)</f>
        <v>20.053264943775893</v>
      </c>
      <c r="G35" s="285"/>
      <c r="I35" s="497">
        <v>2022</v>
      </c>
      <c r="J35" s="496">
        <v>50402</v>
      </c>
      <c r="K35" s="490">
        <v>19293</v>
      </c>
      <c r="L35" s="800">
        <f t="shared" si="2"/>
        <v>38.278242926867982</v>
      </c>
      <c r="M35" s="493" t="s">
        <v>388</v>
      </c>
      <c r="N35" s="485">
        <v>27664</v>
      </c>
      <c r="O35" s="487">
        <f>SUM(N35-N12)/N12*100</f>
        <v>42.517129462675804</v>
      </c>
      <c r="P35" s="492">
        <v>11166</v>
      </c>
      <c r="Q35" s="15">
        <f t="shared" si="7"/>
        <v>8127</v>
      </c>
      <c r="R35" s="482">
        <f>SUM(P35/N35*100)</f>
        <v>40.362926547137072</v>
      </c>
    </row>
    <row r="36" spans="2:30" x14ac:dyDescent="0.25">
      <c r="I36" s="493">
        <v>2023</v>
      </c>
      <c r="J36" s="492">
        <v>43492</v>
      </c>
      <c r="K36" s="488">
        <v>15523</v>
      </c>
      <c r="L36" s="800">
        <f t="shared" si="2"/>
        <v>35.691621447622552</v>
      </c>
      <c r="M36" s="493" t="s">
        <v>387</v>
      </c>
      <c r="N36" s="485">
        <v>23753</v>
      </c>
      <c r="O36" s="487">
        <f>SUM(N36-N12)/N12*100</f>
        <v>22.368759981453813</v>
      </c>
      <c r="P36" s="492">
        <v>10020</v>
      </c>
      <c r="Q36" s="15">
        <f t="shared" si="7"/>
        <v>5503</v>
      </c>
      <c r="R36" s="482">
        <f>SUM(P36/N36*100)</f>
        <v>42.184145160611294</v>
      </c>
    </row>
    <row r="37" spans="2:30" x14ac:dyDescent="0.25">
      <c r="I37" s="493">
        <v>2024</v>
      </c>
      <c r="J37" s="485">
        <v>37922</v>
      </c>
      <c r="K37" s="727">
        <v>13941</v>
      </c>
      <c r="L37" s="800">
        <f>SUM(K37/J37)*100</f>
        <v>36.762301566373083</v>
      </c>
      <c r="M37" s="497" t="s">
        <v>427</v>
      </c>
      <c r="N37" s="729">
        <v>21158</v>
      </c>
      <c r="O37" s="728">
        <f>SUM(N37-N12)/N12*100</f>
        <v>9.0000515171809798</v>
      </c>
      <c r="P37" s="496">
        <v>9030</v>
      </c>
      <c r="Q37" s="730">
        <f t="shared" si="7"/>
        <v>4911</v>
      </c>
      <c r="R37" s="482">
        <f>SUM(P37/N37*100)</f>
        <v>42.678892144815201</v>
      </c>
    </row>
    <row r="38" spans="2:30" ht="15.75" thickBot="1" x14ac:dyDescent="0.3">
      <c r="I38" s="726">
        <v>2025</v>
      </c>
      <c r="J38" s="931">
        <v>30414</v>
      </c>
      <c r="K38" s="880">
        <v>12250</v>
      </c>
      <c r="L38" s="919">
        <f>SUM(K38/J38)*100</f>
        <v>40.27750378115342</v>
      </c>
      <c r="M38" s="494" t="s">
        <v>497</v>
      </c>
      <c r="N38" s="748">
        <v>18166</v>
      </c>
      <c r="O38" s="747">
        <f>SUM(N38-N12)/N13*100</f>
        <v>-7.5550700892044427</v>
      </c>
      <c r="P38" s="731">
        <v>8229</v>
      </c>
      <c r="Q38" s="753">
        <f t="shared" si="7"/>
        <v>4021</v>
      </c>
      <c r="R38" s="482">
        <f>SUM(P38/N38*100)</f>
        <v>45.298910051745018</v>
      </c>
    </row>
    <row r="39" spans="2:30" x14ac:dyDescent="0.25">
      <c r="D39" s="744"/>
      <c r="E39" s="744"/>
      <c r="I39" s="11" t="s">
        <v>307</v>
      </c>
      <c r="N39" s="337">
        <f>SUM(N38-N37)</f>
        <v>-2992</v>
      </c>
      <c r="P39" s="285"/>
    </row>
    <row r="40" spans="2:30" x14ac:dyDescent="0.25">
      <c r="D40" s="744"/>
      <c r="E40" s="744"/>
      <c r="P40" s="285"/>
    </row>
    <row r="41" spans="2:30" x14ac:dyDescent="0.25">
      <c r="D41" s="745"/>
      <c r="E41" s="745"/>
      <c r="AD41" s="483" t="s">
        <v>308</v>
      </c>
    </row>
    <row r="42" spans="2:30" x14ac:dyDescent="0.25">
      <c r="AD42" s="472">
        <v>2003</v>
      </c>
    </row>
    <row r="43" spans="2:30" x14ac:dyDescent="0.25">
      <c r="AD43" s="472">
        <v>2006</v>
      </c>
    </row>
    <row r="44" spans="2:30" x14ac:dyDescent="0.25">
      <c r="AD44" s="472">
        <v>2008</v>
      </c>
    </row>
    <row r="45" spans="2:30" x14ac:dyDescent="0.25">
      <c r="AD45" s="472">
        <v>2010</v>
      </c>
    </row>
    <row r="46" spans="2:30" x14ac:dyDescent="0.25">
      <c r="AD46" s="472" t="s">
        <v>309</v>
      </c>
    </row>
  </sheetData>
  <mergeCells count="1">
    <mergeCell ref="D7:F7"/>
  </mergeCells>
  <printOptions horizontalCentered="1"/>
  <pageMargins left="0.70866141732283472" right="0.70866141732283472" top="1.7716535433070868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B1:Q32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2.140625" style="11" customWidth="1"/>
    <col min="3" max="3" width="11.7109375" style="11" customWidth="1"/>
    <col min="4" max="4" width="11.5703125" style="11" customWidth="1"/>
    <col min="5" max="5" width="14.42578125" style="11" customWidth="1"/>
    <col min="6" max="6" width="11.28515625" style="11" customWidth="1"/>
    <col min="7" max="7" width="11.42578125" style="11" customWidth="1"/>
    <col min="8" max="8" width="14.5703125" style="11" customWidth="1"/>
    <col min="9" max="10" width="3.5703125" style="11" customWidth="1"/>
    <col min="11" max="11" width="11.140625" style="11" customWidth="1"/>
    <col min="12" max="12" width="11.28515625" style="11" customWidth="1"/>
    <col min="13" max="13" width="3.28515625" style="11" customWidth="1"/>
    <col min="14" max="14" width="9.140625" style="11"/>
    <col min="15" max="15" width="24.28515625" style="135" bestFit="1" customWidth="1"/>
    <col min="16" max="16" width="15.28515625" style="11" customWidth="1"/>
    <col min="17" max="17" width="9.140625" style="135"/>
    <col min="18" max="16384" width="9.140625" style="11"/>
  </cols>
  <sheetData>
    <row r="1" spans="2:17" x14ac:dyDescent="0.25">
      <c r="B1" s="11" t="s">
        <v>230</v>
      </c>
    </row>
    <row r="2" spans="2:17" ht="15.75" thickBot="1" x14ac:dyDescent="0.3">
      <c r="B2" s="11" t="s">
        <v>436</v>
      </c>
    </row>
    <row r="3" spans="2:17" ht="33.75" customHeight="1" thickBot="1" x14ac:dyDescent="0.3">
      <c r="B3" s="988" t="s">
        <v>100</v>
      </c>
      <c r="C3" s="844"/>
      <c r="D3" s="844" t="s">
        <v>102</v>
      </c>
      <c r="E3" s="844"/>
      <c r="F3" s="844"/>
      <c r="G3" s="843" t="s">
        <v>103</v>
      </c>
      <c r="H3" s="845"/>
      <c r="I3" s="334"/>
    </row>
    <row r="4" spans="2:17" ht="59.25" customHeight="1" thickBot="1" x14ac:dyDescent="0.3">
      <c r="B4" s="989"/>
      <c r="C4" s="523" t="s">
        <v>480</v>
      </c>
      <c r="D4" s="524" t="s">
        <v>509</v>
      </c>
      <c r="E4" s="525" t="s">
        <v>481</v>
      </c>
      <c r="F4" s="523" t="s">
        <v>482</v>
      </c>
      <c r="G4" s="524" t="s">
        <v>510</v>
      </c>
      <c r="H4" s="851" t="s">
        <v>483</v>
      </c>
      <c r="I4" s="907"/>
      <c r="K4" s="534" t="s">
        <v>298</v>
      </c>
      <c r="L4" s="534" t="s">
        <v>297</v>
      </c>
      <c r="N4" s="531" t="s">
        <v>416</v>
      </c>
      <c r="O4" s="532" t="str">
        <f>T(B3)</f>
        <v>powiaty</v>
      </c>
      <c r="P4" s="533" t="str">
        <f>T(E4)</f>
        <v>wzrost/spadek do XII '24 (liczba)</v>
      </c>
    </row>
    <row r="5" spans="2:17" ht="24.75" customHeight="1" thickBot="1" x14ac:dyDescent="0.3">
      <c r="B5" s="526" t="s">
        <v>13</v>
      </c>
      <c r="C5" s="527">
        <f>SUM(C6:C30)</f>
        <v>67336</v>
      </c>
      <c r="D5" s="528">
        <f>SUM(D6:D30)</f>
        <v>72059</v>
      </c>
      <c r="E5" s="527">
        <f>SUM(D5-C5)</f>
        <v>4723</v>
      </c>
      <c r="F5" s="529">
        <v>8.6999999999999993</v>
      </c>
      <c r="G5" s="530">
        <v>9.3000000000000007</v>
      </c>
      <c r="H5" s="530">
        <f t="shared" ref="H5:H30" si="0">SUM(G5-F5)</f>
        <v>0.60000000000000142</v>
      </c>
      <c r="I5" s="906"/>
      <c r="K5" s="343" t="s">
        <v>91</v>
      </c>
      <c r="L5" s="343" t="s">
        <v>91</v>
      </c>
      <c r="N5" s="343" t="s">
        <v>91</v>
      </c>
      <c r="O5" s="343" t="s">
        <v>91</v>
      </c>
      <c r="P5" s="343" t="s">
        <v>91</v>
      </c>
      <c r="Q5" s="842"/>
    </row>
    <row r="6" spans="2:17" ht="16.5" customHeight="1" x14ac:dyDescent="0.25">
      <c r="B6" s="53" t="s">
        <v>14</v>
      </c>
      <c r="C6" s="30">
        <v>1130</v>
      </c>
      <c r="D6" s="34">
        <v>1112</v>
      </c>
      <c r="E6" s="30">
        <f>SUM(D6-C6)</f>
        <v>-18</v>
      </c>
      <c r="F6" s="373">
        <v>16.2</v>
      </c>
      <c r="G6" s="374">
        <v>16</v>
      </c>
      <c r="H6" s="852">
        <f t="shared" si="0"/>
        <v>-0.19999999999999929</v>
      </c>
      <c r="I6" s="908"/>
      <c r="K6" s="179">
        <f>RANK(E6,E6:E30,0)</f>
        <v>24</v>
      </c>
      <c r="L6" s="179">
        <f>RANK(E6,E6:E30,1)</f>
        <v>2</v>
      </c>
      <c r="N6" s="465">
        <f>RANK(E6,$E$6:$E$30,1)+COUNTIF($E$6:E6,E6)-1</f>
        <v>2</v>
      </c>
      <c r="O6" s="469" t="str">
        <f>INDEX(B6:H30,MATCH(1,N6:N30,0),1)</f>
        <v>brzozowski</v>
      </c>
      <c r="P6" s="920">
        <f>INDEX(B6:H30,MATCH(1,N6:N30,0),5)</f>
        <v>20.8</v>
      </c>
      <c r="Q6" s="135">
        <v>1</v>
      </c>
    </row>
    <row r="7" spans="2:17" ht="15" customHeight="1" x14ac:dyDescent="0.25">
      <c r="B7" s="12" t="s">
        <v>15</v>
      </c>
      <c r="C7" s="13">
        <v>3780</v>
      </c>
      <c r="D7" s="32">
        <v>3681</v>
      </c>
      <c r="E7" s="13">
        <f>SUM(D7-C7)</f>
        <v>-99</v>
      </c>
      <c r="F7" s="181">
        <v>20.8</v>
      </c>
      <c r="G7" s="349">
        <v>20.5</v>
      </c>
      <c r="H7" s="853">
        <f t="shared" si="0"/>
        <v>-0.30000000000000071</v>
      </c>
      <c r="I7" s="908"/>
      <c r="K7" s="9">
        <f>RANK(E7,E6:E30,0)</f>
        <v>25</v>
      </c>
      <c r="L7" s="9">
        <f>RANK(E7,E6:E30,1)</f>
        <v>1</v>
      </c>
      <c r="N7" s="465">
        <f>RANK(E7,$E$6:$E$30,1)+COUNTIF($E$6:E7,E7)-1</f>
        <v>1</v>
      </c>
      <c r="O7" s="469" t="str">
        <f>INDEX(B6:H30,MATCH(2,N6:N30,0),1)</f>
        <v>bieszczadzki</v>
      </c>
      <c r="P7" s="920">
        <f>INDEX(B6:H30,MATCH(2,N6:N30,0),5)</f>
        <v>16.2</v>
      </c>
      <c r="Q7" s="135">
        <v>2</v>
      </c>
    </row>
    <row r="8" spans="2:17" ht="15" customHeight="1" x14ac:dyDescent="0.25">
      <c r="B8" s="12" t="s">
        <v>16</v>
      </c>
      <c r="C8" s="13">
        <v>2247</v>
      </c>
      <c r="D8" s="32">
        <v>2800</v>
      </c>
      <c r="E8" s="13">
        <f>SUM(D8-C8)</f>
        <v>553</v>
      </c>
      <c r="F8" s="181">
        <v>4.3</v>
      </c>
      <c r="G8" s="349">
        <v>5.4</v>
      </c>
      <c r="H8" s="853">
        <f t="shared" si="0"/>
        <v>1.1000000000000005</v>
      </c>
      <c r="I8" s="359"/>
      <c r="K8" s="9">
        <f>RANK(E8,E6:E30,0)</f>
        <v>1</v>
      </c>
      <c r="L8" s="9">
        <f>RANK(E8,E6:E30,1)</f>
        <v>25</v>
      </c>
      <c r="N8" s="465">
        <f>RANK(E8,$E$6:$E$30,1)+COUNTIF($E$6:E8,E8)-1</f>
        <v>25</v>
      </c>
      <c r="O8" s="469" t="str">
        <f>INDEX(B6:H30,MATCH(3,N6:N30,0),1)</f>
        <v>niżański</v>
      </c>
      <c r="P8" s="920">
        <f>INDEX(B6:H30,MATCH(3,N6:N30,0),5)</f>
        <v>16.2</v>
      </c>
      <c r="Q8" s="135">
        <v>3</v>
      </c>
    </row>
    <row r="9" spans="2:17" ht="15.75" customHeight="1" x14ac:dyDescent="0.25">
      <c r="B9" s="12" t="s">
        <v>17</v>
      </c>
      <c r="C9" s="13">
        <v>4489</v>
      </c>
      <c r="D9" s="32">
        <v>4726</v>
      </c>
      <c r="E9" s="13">
        <f>SUM(D9-C9)</f>
        <v>237</v>
      </c>
      <c r="F9" s="181">
        <v>11.2</v>
      </c>
      <c r="G9" s="349">
        <v>11.7</v>
      </c>
      <c r="H9" s="853">
        <f t="shared" si="0"/>
        <v>0.5</v>
      </c>
      <c r="I9" s="908"/>
      <c r="K9" s="9">
        <f>RANK(E9,E6:E30,0)</f>
        <v>10</v>
      </c>
      <c r="L9" s="9">
        <f>RANK(E9,E6:E30,1)</f>
        <v>16</v>
      </c>
      <c r="N9" s="465">
        <f>RANK(E9,$E$6:$E$30,1)+COUNTIF($E$6:E9,E9)-1</f>
        <v>16</v>
      </c>
      <c r="O9" s="469" t="str">
        <f>INDEX(B6:H30,MATCH(4,N6:N30,0),1)</f>
        <v>leżajski</v>
      </c>
      <c r="P9" s="920">
        <f>INDEX(B6:H30,MATCH(4,N6:N30,0),5)</f>
        <v>14</v>
      </c>
      <c r="Q9" s="135">
        <v>4</v>
      </c>
    </row>
    <row r="10" spans="2:17" ht="16.5" customHeight="1" x14ac:dyDescent="0.25">
      <c r="B10" s="12" t="s">
        <v>18</v>
      </c>
      <c r="C10" s="13">
        <v>4919</v>
      </c>
      <c r="D10" s="32">
        <v>5198</v>
      </c>
      <c r="E10" s="13">
        <f t="shared" ref="E10:E30" si="1">SUM(D10-C10)</f>
        <v>279</v>
      </c>
      <c r="F10" s="181">
        <v>13</v>
      </c>
      <c r="G10" s="349">
        <v>13.6</v>
      </c>
      <c r="H10" s="853">
        <f t="shared" si="0"/>
        <v>0.59999999999999964</v>
      </c>
      <c r="I10" s="908"/>
      <c r="K10" s="9">
        <f>RANK(E10,E6:E30,0)</f>
        <v>6</v>
      </c>
      <c r="L10" s="9">
        <f>RANK(E10,E6:E30,1)</f>
        <v>20</v>
      </c>
      <c r="N10" s="465">
        <f>RANK(E10,$E$6:$E$30,1)+COUNTIF($E$6:E10,E10)-1</f>
        <v>20</v>
      </c>
      <c r="O10" s="469" t="str">
        <f>INDEX(B6:H30,MATCH(5,N6:N30,0),1)</f>
        <v>leski</v>
      </c>
      <c r="P10" s="920">
        <f>INDEX(B6:H30,MATCH(5,N6:N30,0),5)</f>
        <v>19.3</v>
      </c>
      <c r="Q10" s="135">
        <v>5</v>
      </c>
    </row>
    <row r="11" spans="2:17" ht="15.75" customHeight="1" x14ac:dyDescent="0.25">
      <c r="B11" s="12" t="s">
        <v>19</v>
      </c>
      <c r="C11" s="13">
        <v>1536</v>
      </c>
      <c r="D11" s="32">
        <v>1677</v>
      </c>
      <c r="E11" s="13">
        <f t="shared" si="1"/>
        <v>141</v>
      </c>
      <c r="F11" s="181">
        <v>8.1</v>
      </c>
      <c r="G11" s="349">
        <v>8.9</v>
      </c>
      <c r="H11" s="853">
        <f t="shared" si="0"/>
        <v>0.80000000000000071</v>
      </c>
      <c r="I11" s="908"/>
      <c r="K11" s="9">
        <f>RANK(E11,E6:E30,0)</f>
        <v>15</v>
      </c>
      <c r="L11" s="9">
        <f>RANK(E11,E6:E30,1)</f>
        <v>11</v>
      </c>
      <c r="N11" s="465">
        <f>RANK(E11,$E$6:$E$30,1)+COUNTIF($E$6:E11,E11)-1</f>
        <v>11</v>
      </c>
      <c r="O11" s="469" t="str">
        <f>INDEX(B6:H30,MATCH(6,N6:N30,0),1)</f>
        <v>strzyżowski</v>
      </c>
      <c r="P11" s="920">
        <f>INDEX(B6:H30,MATCH(6,N6:N30,0),5)</f>
        <v>17.3</v>
      </c>
      <c r="Q11" s="135">
        <v>6</v>
      </c>
    </row>
    <row r="12" spans="2:17" x14ac:dyDescent="0.25">
      <c r="B12" s="12" t="s">
        <v>20</v>
      </c>
      <c r="C12" s="13">
        <v>2356</v>
      </c>
      <c r="D12" s="32">
        <v>2624</v>
      </c>
      <c r="E12" s="13">
        <f>SUM(D12-C12)</f>
        <v>268</v>
      </c>
      <c r="F12" s="181">
        <v>9</v>
      </c>
      <c r="G12" s="349">
        <v>9.9</v>
      </c>
      <c r="H12" s="853">
        <f t="shared" si="0"/>
        <v>0.90000000000000036</v>
      </c>
      <c r="I12" s="908"/>
      <c r="K12" s="9">
        <f>RANK(E12,E6:E30,0)</f>
        <v>8</v>
      </c>
      <c r="L12" s="9">
        <f>RANK(E12,E6:E30,1)</f>
        <v>18</v>
      </c>
      <c r="N12" s="465">
        <f>RANK(E12,$E$6:$E$30,1)+COUNTIF($E$6:E12,E12)-1</f>
        <v>18</v>
      </c>
      <c r="O12" s="470" t="str">
        <f>INDEX(B6:H30,MATCH(7,N6:N30,0),1)</f>
        <v>przemyski</v>
      </c>
      <c r="P12" s="920">
        <f>INDEX(B6:H30,MATCH(7,N6:N30,0),5)</f>
        <v>15.9</v>
      </c>
      <c r="Q12" s="135">
        <v>7</v>
      </c>
    </row>
    <row r="13" spans="2:17" x14ac:dyDescent="0.25">
      <c r="B13" s="535" t="s">
        <v>21</v>
      </c>
      <c r="C13" s="536">
        <v>1726</v>
      </c>
      <c r="D13" s="537">
        <v>1754</v>
      </c>
      <c r="E13" s="536">
        <f t="shared" si="1"/>
        <v>28</v>
      </c>
      <c r="F13" s="539">
        <v>19.3</v>
      </c>
      <c r="G13" s="540">
        <v>19.7</v>
      </c>
      <c r="H13" s="854">
        <f t="shared" si="0"/>
        <v>0.39999999999999858</v>
      </c>
      <c r="I13" s="908"/>
      <c r="K13" s="542">
        <f>RANK(E13,E6:E30,0)</f>
        <v>21</v>
      </c>
      <c r="L13" s="542">
        <f>RANK(E13,E6:E30,1)</f>
        <v>5</v>
      </c>
      <c r="N13" s="465">
        <f>RANK(E13,$E$6:$E$30,1)+COUNTIF($E$6:E13,E13)-1</f>
        <v>5</v>
      </c>
      <c r="O13" s="469" t="str">
        <f>INDEX(B6:H30,MATCH(8,N6:N30,0),1)</f>
        <v>lubaczowski</v>
      </c>
      <c r="P13" s="920">
        <f>INDEX(B6:H30,MATCH(8,N6:N30,0),5)</f>
        <v>10.1</v>
      </c>
      <c r="Q13" s="135">
        <v>8</v>
      </c>
    </row>
    <row r="14" spans="2:17" ht="16.5" customHeight="1" x14ac:dyDescent="0.25">
      <c r="B14" s="12" t="s">
        <v>22</v>
      </c>
      <c r="C14" s="13">
        <v>2975</v>
      </c>
      <c r="D14" s="32">
        <v>3001</v>
      </c>
      <c r="E14" s="13">
        <f t="shared" si="1"/>
        <v>26</v>
      </c>
      <c r="F14" s="181">
        <v>14</v>
      </c>
      <c r="G14" s="349">
        <v>14.1</v>
      </c>
      <c r="H14" s="853">
        <f t="shared" si="0"/>
        <v>9.9999999999999645E-2</v>
      </c>
      <c r="I14" s="359"/>
      <c r="K14" s="9">
        <f>RANK(E14,E6:E30,0)</f>
        <v>22</v>
      </c>
      <c r="L14" s="9">
        <f>RANK(E14,E6:E30,1)</f>
        <v>4</v>
      </c>
      <c r="N14" s="465">
        <f>RANK(E14,$E$6:$E$30,1)+COUNTIF($E$6:E14,E14)-1</f>
        <v>4</v>
      </c>
      <c r="O14" s="469" t="str">
        <f>INDEX(B6:H30,MATCH(9,N6:N30,0),1)</f>
        <v>Przemyśl</v>
      </c>
      <c r="P14" s="920">
        <f>INDEX(B6:H30,MATCH(9,N6:N30,0),5)</f>
        <v>10.1</v>
      </c>
      <c r="Q14" s="135">
        <v>9</v>
      </c>
    </row>
    <row r="15" spans="2:17" x14ac:dyDescent="0.25">
      <c r="B15" s="12" t="s">
        <v>23</v>
      </c>
      <c r="C15" s="13">
        <v>1704</v>
      </c>
      <c r="D15" s="32">
        <v>1788</v>
      </c>
      <c r="E15" s="13">
        <f t="shared" si="1"/>
        <v>84</v>
      </c>
      <c r="F15" s="181">
        <v>10.1</v>
      </c>
      <c r="G15" s="349">
        <v>10.6</v>
      </c>
      <c r="H15" s="853">
        <f t="shared" si="0"/>
        <v>0.5</v>
      </c>
      <c r="I15" s="908"/>
      <c r="K15" s="9">
        <f>RANK(E15,E6:E30,0)</f>
        <v>18</v>
      </c>
      <c r="L15" s="9">
        <f>RANK(E15,E6:E30,1)</f>
        <v>8</v>
      </c>
      <c r="N15" s="465">
        <f>RANK(E15,$E$6:$E$30,1)+COUNTIF($E$6:E15,E15)-1</f>
        <v>8</v>
      </c>
      <c r="O15" s="469" t="str">
        <f>INDEX(B6:H30,MATCH(10,N6:N30,0),1)</f>
        <v>łańcucki</v>
      </c>
      <c r="P15" s="920">
        <f>INDEX(B6:H30,MATCH(10,N6:N30,0),5)</f>
        <v>9.4</v>
      </c>
      <c r="Q15" s="135">
        <v>10</v>
      </c>
    </row>
    <row r="16" spans="2:17" x14ac:dyDescent="0.25">
      <c r="B16" s="12" t="s">
        <v>24</v>
      </c>
      <c r="C16" s="13">
        <v>2519</v>
      </c>
      <c r="D16" s="32">
        <v>2629</v>
      </c>
      <c r="E16" s="13">
        <f t="shared" si="1"/>
        <v>110</v>
      </c>
      <c r="F16" s="181">
        <v>9.4</v>
      </c>
      <c r="G16" s="349">
        <v>9.8000000000000007</v>
      </c>
      <c r="H16" s="853">
        <f t="shared" si="0"/>
        <v>0.40000000000000036</v>
      </c>
      <c r="I16" s="908"/>
      <c r="K16" s="9">
        <f>RANK(E16,E6:E30,0)</f>
        <v>16</v>
      </c>
      <c r="L16" s="9">
        <f>RANK(E16,E6:E30,1)</f>
        <v>10</v>
      </c>
      <c r="N16" s="465">
        <f>RANK(E16,$E$6:$E$30,1)+COUNTIF($E$6:E16,E16)-1</f>
        <v>10</v>
      </c>
      <c r="O16" s="469" t="str">
        <f>INDEX(B6:H30,MATCH(11,N6:N30,0),1)</f>
        <v>kolbuszowski</v>
      </c>
      <c r="P16" s="920">
        <f>INDEX(B6:H30,MATCH(11,N6:N30,0),5)</f>
        <v>8.1</v>
      </c>
      <c r="Q16" s="135">
        <v>11</v>
      </c>
    </row>
    <row r="17" spans="2:17" x14ac:dyDescent="0.25">
      <c r="B17" s="12" t="s">
        <v>25</v>
      </c>
      <c r="C17" s="13">
        <v>3075</v>
      </c>
      <c r="D17" s="32">
        <v>3502</v>
      </c>
      <c r="E17" s="13">
        <f t="shared" si="1"/>
        <v>427</v>
      </c>
      <c r="F17" s="181">
        <v>5.3</v>
      </c>
      <c r="G17" s="349">
        <v>6</v>
      </c>
      <c r="H17" s="853">
        <f t="shared" si="0"/>
        <v>0.70000000000000018</v>
      </c>
      <c r="I17" s="359"/>
      <c r="K17" s="9">
        <f>RANK(E17,E6:E30,0)</f>
        <v>3</v>
      </c>
      <c r="L17" s="9">
        <f>RANK(E17,E6:E30,1)</f>
        <v>23</v>
      </c>
      <c r="N17" s="465">
        <f>RANK(E17,$E$6:$E$30,1)+COUNTIF($E$6:E17,E17)-1</f>
        <v>23</v>
      </c>
      <c r="O17" s="469" t="str">
        <f>INDEX(B6:H30,MATCH(12,N6:N30,0),1)</f>
        <v>Tarnobrzeg</v>
      </c>
      <c r="P17" s="920">
        <f>INDEX(B6:H30,MATCH(12,N6:N30,0),5)</f>
        <v>6.7</v>
      </c>
      <c r="Q17" s="135">
        <v>12</v>
      </c>
    </row>
    <row r="18" spans="2:17" x14ac:dyDescent="0.25">
      <c r="B18" s="12" t="s">
        <v>26</v>
      </c>
      <c r="C18" s="13">
        <v>2929</v>
      </c>
      <c r="D18" s="32">
        <v>2939</v>
      </c>
      <c r="E18" s="13">
        <f t="shared" si="1"/>
        <v>10</v>
      </c>
      <c r="F18" s="181">
        <v>16.2</v>
      </c>
      <c r="G18" s="349">
        <v>16.399999999999999</v>
      </c>
      <c r="H18" s="853">
        <f t="shared" si="0"/>
        <v>0.19999999999999929</v>
      </c>
      <c r="I18" s="908"/>
      <c r="K18" s="9">
        <f>RANK(E18,E6:E30,0)</f>
        <v>23</v>
      </c>
      <c r="L18" s="9">
        <f>RANK(E18,E6:E30,1)</f>
        <v>3</v>
      </c>
      <c r="N18" s="465">
        <f>RANK(E18,$E$6:$E$30,1)+COUNTIF($E$6:E18,E18)-1</f>
        <v>3</v>
      </c>
      <c r="O18" s="469" t="str">
        <f>INDEX(B6:H30,MATCH(13,N6:N30,0),1)</f>
        <v>tarnobrzeski</v>
      </c>
      <c r="P18" s="920">
        <f>INDEX(B6:H30,MATCH(13,N6:N30,0),5)</f>
        <v>7.4</v>
      </c>
      <c r="Q18" s="135">
        <v>13</v>
      </c>
    </row>
    <row r="19" spans="2:17" x14ac:dyDescent="0.25">
      <c r="B19" s="16" t="s">
        <v>27</v>
      </c>
      <c r="C19" s="13">
        <v>2958</v>
      </c>
      <c r="D19" s="32">
        <v>3036</v>
      </c>
      <c r="E19" s="13">
        <f t="shared" si="1"/>
        <v>78</v>
      </c>
      <c r="F19" s="181">
        <v>15.9</v>
      </c>
      <c r="G19" s="349">
        <v>16.3</v>
      </c>
      <c r="H19" s="853">
        <f t="shared" si="0"/>
        <v>0.40000000000000036</v>
      </c>
      <c r="I19" s="908"/>
      <c r="K19" s="9">
        <f>RANK(E19,E6:E30,0)</f>
        <v>19</v>
      </c>
      <c r="L19" s="9">
        <f>RANK(E19,E6:E30,1)</f>
        <v>7</v>
      </c>
      <c r="N19" s="465">
        <f>RANK(E19,$E$6:$E$30,1)+COUNTIF($E$6:E19,E19)-1</f>
        <v>7</v>
      </c>
      <c r="O19" s="469" t="str">
        <f>INDEX(B6:H30,MATCH(14,N6:N30,0),1)</f>
        <v>sanocki</v>
      </c>
      <c r="P19" s="920">
        <f>INDEX(B6:H30,MATCH(14,N6:N30,0),5)</f>
        <v>8.9</v>
      </c>
      <c r="Q19" s="135">
        <v>14</v>
      </c>
    </row>
    <row r="20" spans="2:17" x14ac:dyDescent="0.25">
      <c r="B20" s="16" t="s">
        <v>28</v>
      </c>
      <c r="C20" s="13">
        <v>3337</v>
      </c>
      <c r="D20" s="32">
        <v>3610</v>
      </c>
      <c r="E20" s="13">
        <f t="shared" si="1"/>
        <v>273</v>
      </c>
      <c r="F20" s="181">
        <v>13.3</v>
      </c>
      <c r="G20" s="349">
        <v>14.3</v>
      </c>
      <c r="H20" s="853">
        <f t="shared" si="0"/>
        <v>1</v>
      </c>
      <c r="I20" s="359"/>
      <c r="K20" s="9">
        <f>RANK(E20,E6:E30,0)</f>
        <v>7</v>
      </c>
      <c r="L20" s="9">
        <f>RANK(E20,E6:E30,1)</f>
        <v>19</v>
      </c>
      <c r="N20" s="465">
        <f>RANK(E20,$E$6:$E$30,1)+COUNTIF($E$6:E20,E20)-1</f>
        <v>19</v>
      </c>
      <c r="O20" s="469" t="str">
        <f>INDEX(B6:H30,MATCH(15,N6:N30,0),1)</f>
        <v>Krosno</v>
      </c>
      <c r="P20" s="920">
        <f>INDEX(B6:H30,MATCH(15,N6:N30,0),5)</f>
        <v>3.1</v>
      </c>
      <c r="Q20" s="135">
        <v>15</v>
      </c>
    </row>
    <row r="21" spans="2:17" x14ac:dyDescent="0.25">
      <c r="B21" s="16" t="s">
        <v>29</v>
      </c>
      <c r="C21" s="13">
        <v>2673</v>
      </c>
      <c r="D21" s="32">
        <v>2919</v>
      </c>
      <c r="E21" s="13">
        <f t="shared" si="1"/>
        <v>246</v>
      </c>
      <c r="F21" s="181">
        <v>10.8</v>
      </c>
      <c r="G21" s="349">
        <v>11.7</v>
      </c>
      <c r="H21" s="853">
        <f t="shared" si="0"/>
        <v>0.89999999999999858</v>
      </c>
      <c r="I21" s="908"/>
      <c r="K21" s="9">
        <f>RANK(E21,E6:E30,0)</f>
        <v>9</v>
      </c>
      <c r="L21" s="9">
        <f>RANK(E21,E6:E30,1)</f>
        <v>17</v>
      </c>
      <c r="N21" s="465">
        <f>RANK(E21,$E$6:$E$30,1)+COUNTIF($E$6:E21,E21)-1</f>
        <v>17</v>
      </c>
      <c r="O21" s="469" t="str">
        <f>INDEX(B6:H30,MATCH(16,N6:N30,0),1)</f>
        <v>jarosławski</v>
      </c>
      <c r="P21" s="920">
        <f>INDEX(B6:H30,MATCH(16,N6:N30,0),5)</f>
        <v>11.2</v>
      </c>
      <c r="Q21" s="135">
        <v>16</v>
      </c>
    </row>
    <row r="22" spans="2:17" x14ac:dyDescent="0.25">
      <c r="B22" s="16" t="s">
        <v>30</v>
      </c>
      <c r="C22" s="13">
        <v>4540</v>
      </c>
      <c r="D22" s="32">
        <v>4992</v>
      </c>
      <c r="E22" s="13">
        <f t="shared" si="1"/>
        <v>452</v>
      </c>
      <c r="F22" s="181">
        <v>7.3</v>
      </c>
      <c r="G22" s="349">
        <v>8</v>
      </c>
      <c r="H22" s="853">
        <f t="shared" si="0"/>
        <v>0.70000000000000018</v>
      </c>
      <c r="I22" s="908"/>
      <c r="K22" s="9">
        <f>RANK(E22,E6:E30,0)</f>
        <v>2</v>
      </c>
      <c r="L22" s="9">
        <f>RANK(E22,E6:E30,1)</f>
        <v>24</v>
      </c>
      <c r="N22" s="465">
        <f>RANK(E22,$E$6:$E$30,1)+COUNTIF($E$6:E22,E22)-1</f>
        <v>24</v>
      </c>
      <c r="O22" s="469" t="str">
        <f>INDEX(B6:H30,MATCH(17,N6:N30,0),1)</f>
        <v>ropczycko-sędziszowski</v>
      </c>
      <c r="P22" s="920">
        <f>INDEX(B6:H30,MATCH(17,N6:N30,0),5)</f>
        <v>10.8</v>
      </c>
      <c r="Q22" s="135">
        <v>17</v>
      </c>
    </row>
    <row r="23" spans="2:17" x14ac:dyDescent="0.25">
      <c r="B23" s="16" t="s">
        <v>31</v>
      </c>
      <c r="C23" s="13">
        <v>2881</v>
      </c>
      <c r="D23" s="32">
        <v>3068</v>
      </c>
      <c r="E23" s="13">
        <f t="shared" si="1"/>
        <v>187</v>
      </c>
      <c r="F23" s="181">
        <v>8.9</v>
      </c>
      <c r="G23" s="349">
        <v>9.5</v>
      </c>
      <c r="H23" s="853">
        <f t="shared" si="0"/>
        <v>0.59999999999999964</v>
      </c>
      <c r="I23" s="908"/>
      <c r="K23" s="9">
        <f>RANK(E23,E6:E30,0)</f>
        <v>12</v>
      </c>
      <c r="L23" s="9">
        <f>RANK(E23,E6:E30,1)</f>
        <v>14</v>
      </c>
      <c r="N23" s="465">
        <f>RANK(E23,$E$6:$E$30,1)+COUNTIF($E$6:E23,E23)-1</f>
        <v>14</v>
      </c>
      <c r="O23" s="469" t="str">
        <f>INDEX(B6:H30,MATCH(18,N6:N30,0),1)</f>
        <v>krośnieński</v>
      </c>
      <c r="P23" s="920">
        <f>INDEX(B6:H30,MATCH(18,N6:N30,0),5)</f>
        <v>9</v>
      </c>
      <c r="Q23" s="135">
        <v>18</v>
      </c>
    </row>
    <row r="24" spans="2:17" x14ac:dyDescent="0.25">
      <c r="B24" s="16" t="s">
        <v>32</v>
      </c>
      <c r="C24" s="13">
        <v>2098</v>
      </c>
      <c r="D24" s="32">
        <v>2445</v>
      </c>
      <c r="E24" s="13">
        <f t="shared" si="1"/>
        <v>347</v>
      </c>
      <c r="F24" s="181">
        <v>5.3</v>
      </c>
      <c r="G24" s="349">
        <v>6.2</v>
      </c>
      <c r="H24" s="853">
        <f t="shared" si="0"/>
        <v>0.90000000000000036</v>
      </c>
      <c r="I24" s="359"/>
      <c r="K24" s="9">
        <f>RANK(E24,E6:E30,0)</f>
        <v>5</v>
      </c>
      <c r="L24" s="9">
        <f>RANK(E24,E6:E30,1)</f>
        <v>21</v>
      </c>
      <c r="N24" s="465">
        <f>RANK(E24,$E$6:$E$30,1)+COUNTIF($E$6:E24,E24)-1</f>
        <v>21</v>
      </c>
      <c r="O24" s="841" t="str">
        <f>INDEX(B6:H30,MATCH(19,N6:N30,0),1)</f>
        <v>przeworski</v>
      </c>
      <c r="P24" s="921">
        <f>INDEX(B6:H30,MATCH(19,N6:N30,0),5)</f>
        <v>13.3</v>
      </c>
      <c r="Q24" s="135">
        <v>1</v>
      </c>
    </row>
    <row r="25" spans="2:17" x14ac:dyDescent="0.25">
      <c r="B25" s="16" t="s">
        <v>33</v>
      </c>
      <c r="C25" s="13">
        <v>3113</v>
      </c>
      <c r="D25" s="32">
        <v>3182</v>
      </c>
      <c r="E25" s="13">
        <f t="shared" si="1"/>
        <v>69</v>
      </c>
      <c r="F25" s="181">
        <v>17.3</v>
      </c>
      <c r="G25" s="349">
        <v>17.7</v>
      </c>
      <c r="H25" s="853">
        <f t="shared" si="0"/>
        <v>0.39999999999999858</v>
      </c>
      <c r="I25" s="908"/>
      <c r="K25" s="9">
        <f>RANK(E25,E6:E30,0)</f>
        <v>20</v>
      </c>
      <c r="L25" s="9">
        <f>RANK(E25,E6:E30,1)</f>
        <v>6</v>
      </c>
      <c r="N25" s="465">
        <f>RANK(E25,$E$6:$E$30,1)+COUNTIF($E$6:E25,E25)-1</f>
        <v>6</v>
      </c>
      <c r="O25" s="841" t="str">
        <f>INDEX(B6:H30,MATCH(20,N6:N30,0),1)</f>
        <v>jasielski</v>
      </c>
      <c r="P25" s="921">
        <f>INDEX(B6:H30,MATCH(20,N6:N30,0),5)</f>
        <v>13</v>
      </c>
      <c r="Q25" s="135">
        <v>2</v>
      </c>
    </row>
    <row r="26" spans="2:17" x14ac:dyDescent="0.25">
      <c r="B26" s="16" t="s">
        <v>34</v>
      </c>
      <c r="C26" s="13">
        <v>1243</v>
      </c>
      <c r="D26" s="32">
        <v>1422</v>
      </c>
      <c r="E26" s="13">
        <f t="shared" si="1"/>
        <v>179</v>
      </c>
      <c r="F26" s="181">
        <v>7.4</v>
      </c>
      <c r="G26" s="349">
        <v>8.4</v>
      </c>
      <c r="H26" s="853">
        <f t="shared" si="0"/>
        <v>1</v>
      </c>
      <c r="I26" s="359"/>
      <c r="K26" s="9">
        <f>RANK(E26,E6:E30,0)</f>
        <v>13</v>
      </c>
      <c r="L26" s="9">
        <f>RANK(E26,E6:E30,1)</f>
        <v>13</v>
      </c>
      <c r="N26" s="465">
        <f>RANK(E26,$E$6:$E$30,1)+COUNTIF($E$6:E26,E26)-1</f>
        <v>13</v>
      </c>
      <c r="O26" s="841" t="str">
        <f>INDEX(B6:H30,MATCH(21,N6:N30,0),1)</f>
        <v>stalowowolski</v>
      </c>
      <c r="P26" s="921">
        <f>INDEX(B6:H30,MATCH(21,N6:N30,0),5)</f>
        <v>5.3</v>
      </c>
      <c r="Q26" s="135">
        <v>3</v>
      </c>
    </row>
    <row r="27" spans="2:17" x14ac:dyDescent="0.25">
      <c r="B27" s="16" t="s">
        <v>35</v>
      </c>
      <c r="C27" s="13">
        <v>814</v>
      </c>
      <c r="D27" s="32">
        <v>1024</v>
      </c>
      <c r="E27" s="13">
        <f t="shared" si="1"/>
        <v>210</v>
      </c>
      <c r="F27" s="181">
        <v>3.1</v>
      </c>
      <c r="G27" s="349">
        <v>3.8</v>
      </c>
      <c r="H27" s="853">
        <f t="shared" si="0"/>
        <v>0.69999999999999973</v>
      </c>
      <c r="I27" s="908"/>
      <c r="K27" s="9">
        <f>RANK(E27,E6:E30,0)</f>
        <v>11</v>
      </c>
      <c r="L27" s="9">
        <f>RANK(E27,E6:E30,1)</f>
        <v>15</v>
      </c>
      <c r="N27" s="465">
        <f>RANK(E27,$E$6:$E$30,1)+COUNTIF($E$6:E27,E27)-1</f>
        <v>15</v>
      </c>
      <c r="O27" s="841" t="str">
        <f>INDEX(B6:H30,MATCH(22,N6:N30,0),1)</f>
        <v>Rzeszów</v>
      </c>
      <c r="P27" s="921">
        <f>INDEX(B6:H30,MATCH(22,N6:N30,0),5)</f>
        <v>4</v>
      </c>
      <c r="Q27" s="135">
        <v>4</v>
      </c>
    </row>
    <row r="28" spans="2:17" x14ac:dyDescent="0.25">
      <c r="B28" s="16" t="s">
        <v>36</v>
      </c>
      <c r="C28" s="13">
        <v>2338</v>
      </c>
      <c r="D28" s="32">
        <v>2445</v>
      </c>
      <c r="E28" s="13">
        <f t="shared" si="1"/>
        <v>107</v>
      </c>
      <c r="F28" s="181">
        <v>10.1</v>
      </c>
      <c r="G28" s="349">
        <v>10.5</v>
      </c>
      <c r="H28" s="853">
        <f t="shared" si="0"/>
        <v>0.40000000000000036</v>
      </c>
      <c r="I28" s="359"/>
      <c r="K28" s="9">
        <f>RANK(E28,E6:E30,0)</f>
        <v>17</v>
      </c>
      <c r="L28" s="9">
        <f>RANK(E28,E6:E30,1)</f>
        <v>9</v>
      </c>
      <c r="N28" s="465">
        <f>RANK(E28,$E$6:$E$30,1)+COUNTIF($E$6:E28,E28)-1</f>
        <v>9</v>
      </c>
      <c r="O28" s="841" t="str">
        <f>INDEX(B6:H30,MATCH(23,N6:N30,0),1)</f>
        <v>mielecki</v>
      </c>
      <c r="P28" s="921">
        <f>INDEX(B6:H30,MATCH(23,N6:N30,0),5)</f>
        <v>5.3</v>
      </c>
      <c r="Q28" s="135">
        <v>5</v>
      </c>
    </row>
    <row r="29" spans="2:17" x14ac:dyDescent="0.25">
      <c r="B29" s="16" t="s">
        <v>37</v>
      </c>
      <c r="C29" s="13">
        <v>4957</v>
      </c>
      <c r="D29" s="32">
        <v>5318</v>
      </c>
      <c r="E29" s="13">
        <f t="shared" si="1"/>
        <v>361</v>
      </c>
      <c r="F29" s="181">
        <v>4</v>
      </c>
      <c r="G29" s="349">
        <v>4.3</v>
      </c>
      <c r="H29" s="853">
        <f t="shared" si="0"/>
        <v>0.29999999999999982</v>
      </c>
      <c r="I29" s="359"/>
      <c r="K29" s="9">
        <f>RANK(E29,E6:E30,0)</f>
        <v>4</v>
      </c>
      <c r="L29" s="9">
        <f>RANK(E29,E6:E30,1)</f>
        <v>22</v>
      </c>
      <c r="N29" s="465">
        <f>RANK(E29,$E$6:$E$30,1)+COUNTIF($E$6:E29,E29)-1</f>
        <v>22</v>
      </c>
      <c r="O29" s="841" t="str">
        <f>INDEX(B6:H30,MATCH(24,N6:N30,0),1)</f>
        <v>rzeszowski</v>
      </c>
      <c r="P29" s="921">
        <f>INDEX(B6:H30,MATCH(24,N6:N30,0),5)</f>
        <v>7.3</v>
      </c>
      <c r="Q29" s="135">
        <v>6</v>
      </c>
    </row>
    <row r="30" spans="2:17" ht="15.75" thickBot="1" x14ac:dyDescent="0.3">
      <c r="B30" s="17" t="s">
        <v>38</v>
      </c>
      <c r="C30" s="18">
        <v>999</v>
      </c>
      <c r="D30" s="35">
        <v>1167</v>
      </c>
      <c r="E30" s="18">
        <f t="shared" si="1"/>
        <v>168</v>
      </c>
      <c r="F30" s="336">
        <v>6.7</v>
      </c>
      <c r="G30" s="350">
        <v>7.7</v>
      </c>
      <c r="H30" s="855">
        <f t="shared" si="0"/>
        <v>1</v>
      </c>
      <c r="I30" s="359"/>
      <c r="K30" s="5">
        <f>RANK(E30,E6:E30,0)</f>
        <v>14</v>
      </c>
      <c r="L30" s="5">
        <f>RANK(E30,E6:E30,1)</f>
        <v>12</v>
      </c>
      <c r="N30" s="465">
        <f>RANK(E30,$E$6:$E$30,1)+COUNTIF($E$6:E30,E30)-1</f>
        <v>12</v>
      </c>
      <c r="O30" s="841" t="str">
        <f>INDEX(B6:H30,MATCH(25,N6:N30,0),1)</f>
        <v>dębicki</v>
      </c>
      <c r="P30" s="921">
        <f>INDEX(B6:H30,MATCH(25,N6:N30,0),5)</f>
        <v>4.3</v>
      </c>
      <c r="Q30" s="135">
        <v>7</v>
      </c>
    </row>
    <row r="31" spans="2:17" x14ac:dyDescent="0.25">
      <c r="B31" s="49" t="s">
        <v>105</v>
      </c>
      <c r="K31" s="285">
        <f>SUM(E5)/C5*100</f>
        <v>7.0140786503504815</v>
      </c>
      <c r="N31" s="468"/>
      <c r="O31" s="471"/>
      <c r="P31" s="467">
        <f>SUM(P6:P30)</f>
        <v>267.00000000000006</v>
      </c>
    </row>
    <row r="32" spans="2:17" x14ac:dyDescent="0.25">
      <c r="N32" s="466"/>
      <c r="O32" s="472"/>
    </row>
  </sheetData>
  <mergeCells count="1">
    <mergeCell ref="B3:B4"/>
  </mergeCells>
  <printOptions horizontalCentered="1"/>
  <pageMargins left="0.78740157480314965" right="0.78740157480314965" top="1.1417322834645669" bottom="0.74803149606299213" header="0.31496062992125984" footer="0.31496062992125984"/>
  <pageSetup paperSize="9" scale="6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  <pageSetUpPr fitToPage="1"/>
  </sheetPr>
  <dimension ref="B2:AS37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4.140625" style="77" customWidth="1"/>
    <col min="2" max="2" width="23.28515625" style="77" customWidth="1"/>
    <col min="3" max="3" width="10.28515625" style="77" customWidth="1"/>
    <col min="4" max="4" width="13.85546875" style="77" customWidth="1"/>
    <col min="5" max="5" width="12.42578125" style="77" customWidth="1"/>
    <col min="6" max="6" width="13.7109375" style="77" customWidth="1"/>
    <col min="7" max="7" width="10" style="77" customWidth="1"/>
    <col min="8" max="8" width="13.7109375" style="77" customWidth="1"/>
    <col min="9" max="9" width="12.140625" style="77" customWidth="1"/>
    <col min="10" max="10" width="12.28515625" style="77" customWidth="1"/>
    <col min="11" max="11" width="9.140625" style="77" customWidth="1"/>
    <col min="12" max="12" width="14" style="77" customWidth="1"/>
    <col min="13" max="13" width="11.5703125" style="77" customWidth="1"/>
    <col min="14" max="14" width="13.42578125" style="77" customWidth="1"/>
    <col min="15" max="15" width="8.85546875" style="77" customWidth="1"/>
    <col min="16" max="16" width="14" style="77" customWidth="1"/>
    <col min="17" max="17" width="12" style="77" customWidth="1"/>
    <col min="18" max="18" width="15.7109375" style="77" customWidth="1"/>
    <col min="19" max="19" width="2.85546875" style="77" customWidth="1"/>
    <col min="20" max="20" width="8.28515625" style="77" customWidth="1"/>
    <col min="21" max="21" width="9.42578125" style="77" customWidth="1"/>
    <col min="22" max="32" width="9.140625" style="77"/>
    <col min="33" max="33" width="8" style="77" customWidth="1"/>
    <col min="34" max="16384" width="9.140625" style="77"/>
  </cols>
  <sheetData>
    <row r="2" spans="2:45" x14ac:dyDescent="0.25">
      <c r="B2" s="11" t="s">
        <v>469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45" x14ac:dyDescent="0.25">
      <c r="B3" s="11" t="s">
        <v>470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45" x14ac:dyDescent="0.25">
      <c r="B4" s="11" t="s">
        <v>294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2:45" ht="15.75" thickBot="1" x14ac:dyDescent="0.3">
      <c r="B5" s="11"/>
      <c r="C5" s="1153"/>
      <c r="D5" s="1153"/>
      <c r="E5" s="1153"/>
      <c r="F5" s="1153"/>
      <c r="G5" s="1154"/>
      <c r="H5" s="1154"/>
      <c r="I5" s="1154"/>
      <c r="J5" s="193"/>
      <c r="K5" s="11"/>
      <c r="L5" s="11"/>
      <c r="M5" s="11"/>
      <c r="N5" s="11"/>
      <c r="O5" s="11"/>
      <c r="P5" s="11"/>
      <c r="Q5" s="11"/>
      <c r="R5" s="11"/>
    </row>
    <row r="6" spans="2:45" x14ac:dyDescent="0.25">
      <c r="B6" s="1155" t="s">
        <v>100</v>
      </c>
      <c r="C6" s="1158">
        <v>2024</v>
      </c>
      <c r="D6" s="1159"/>
      <c r="E6" s="1159"/>
      <c r="F6" s="1160"/>
      <c r="G6" s="1161">
        <v>2025</v>
      </c>
      <c r="H6" s="1162"/>
      <c r="I6" s="1162"/>
      <c r="J6" s="1163"/>
      <c r="K6" s="1161" t="s">
        <v>104</v>
      </c>
      <c r="L6" s="1162"/>
      <c r="M6" s="1162"/>
      <c r="N6" s="1163"/>
      <c r="O6" s="1164" t="s">
        <v>357</v>
      </c>
      <c r="P6" s="1165"/>
      <c r="Q6" s="1165"/>
      <c r="R6" s="1166"/>
    </row>
    <row r="7" spans="2:45" x14ac:dyDescent="0.25">
      <c r="B7" s="1156"/>
      <c r="C7" s="1173" t="s">
        <v>4</v>
      </c>
      <c r="D7" s="1178" t="s">
        <v>48</v>
      </c>
      <c r="E7" s="1178"/>
      <c r="F7" s="1179" t="s">
        <v>270</v>
      </c>
      <c r="G7" s="1167" t="s">
        <v>4</v>
      </c>
      <c r="H7" s="1169" t="s">
        <v>48</v>
      </c>
      <c r="I7" s="1170"/>
      <c r="J7" s="1171" t="s">
        <v>270</v>
      </c>
      <c r="K7" s="1173" t="s">
        <v>150</v>
      </c>
      <c r="L7" s="1178" t="s">
        <v>48</v>
      </c>
      <c r="M7" s="1178"/>
      <c r="N7" s="1179" t="s">
        <v>271</v>
      </c>
      <c r="O7" s="1151" t="s">
        <v>150</v>
      </c>
      <c r="P7" s="1175" t="s">
        <v>48</v>
      </c>
      <c r="Q7" s="1175"/>
      <c r="R7" s="1176" t="s">
        <v>271</v>
      </c>
    </row>
    <row r="8" spans="2:45" ht="75.75" customHeight="1" thickBot="1" x14ac:dyDescent="0.3">
      <c r="B8" s="1157"/>
      <c r="C8" s="1174"/>
      <c r="D8" s="754" t="s">
        <v>46</v>
      </c>
      <c r="E8" s="754" t="s">
        <v>47</v>
      </c>
      <c r="F8" s="1180"/>
      <c r="G8" s="1168"/>
      <c r="H8" s="755" t="s">
        <v>46</v>
      </c>
      <c r="I8" s="755" t="s">
        <v>47</v>
      </c>
      <c r="J8" s="1172"/>
      <c r="K8" s="1174"/>
      <c r="L8" s="754" t="s">
        <v>46</v>
      </c>
      <c r="M8" s="754" t="s">
        <v>47</v>
      </c>
      <c r="N8" s="1180"/>
      <c r="O8" s="1152"/>
      <c r="P8" s="756" t="s">
        <v>46</v>
      </c>
      <c r="Q8" s="756" t="s">
        <v>47</v>
      </c>
      <c r="R8" s="1177"/>
      <c r="T8" s="95" t="s">
        <v>499</v>
      </c>
      <c r="U8" s="95">
        <v>1</v>
      </c>
      <c r="V8" s="95">
        <v>2</v>
      </c>
      <c r="W8" s="95">
        <v>3</v>
      </c>
      <c r="X8" s="95">
        <v>4</v>
      </c>
      <c r="Y8" s="95">
        <v>5</v>
      </c>
      <c r="Z8" s="95">
        <v>6</v>
      </c>
      <c r="AA8" s="849">
        <v>7</v>
      </c>
      <c r="AB8" s="849">
        <v>8</v>
      </c>
      <c r="AC8" s="849">
        <v>9</v>
      </c>
      <c r="AD8" s="849">
        <v>10</v>
      </c>
      <c r="AE8" s="849">
        <v>11</v>
      </c>
      <c r="AF8" s="849">
        <v>12</v>
      </c>
      <c r="AG8" s="95" t="s">
        <v>428</v>
      </c>
      <c r="AH8" s="95">
        <v>1</v>
      </c>
      <c r="AI8" s="95">
        <v>2</v>
      </c>
      <c r="AJ8" s="95">
        <v>3</v>
      </c>
      <c r="AK8" s="95">
        <v>4</v>
      </c>
      <c r="AL8" s="95">
        <v>5</v>
      </c>
      <c r="AM8" s="95">
        <v>6</v>
      </c>
      <c r="AN8" s="849">
        <v>7</v>
      </c>
      <c r="AO8" s="849">
        <v>8</v>
      </c>
      <c r="AP8" s="849">
        <v>9</v>
      </c>
      <c r="AQ8" s="849">
        <v>10</v>
      </c>
      <c r="AR8" s="849">
        <v>11</v>
      </c>
      <c r="AS8" s="849">
        <v>12</v>
      </c>
    </row>
    <row r="9" spans="2:45" ht="27" customHeight="1" thickBot="1" x14ac:dyDescent="0.3">
      <c r="B9" s="168" t="s">
        <v>13</v>
      </c>
      <c r="C9" s="23">
        <f>SUM(C10:C34)</f>
        <v>37922</v>
      </c>
      <c r="D9" s="24">
        <f>SUM(D10:D34)</f>
        <v>13941</v>
      </c>
      <c r="E9" s="24">
        <f>SUM(E10:E34)</f>
        <v>5828</v>
      </c>
      <c r="F9" s="322">
        <f>SUM(AG9)/C9</f>
        <v>21.014767153631137</v>
      </c>
      <c r="G9" s="225">
        <f>SUM(G10:G34)</f>
        <v>30414</v>
      </c>
      <c r="H9" s="226">
        <f>SUM(H10:H34)</f>
        <v>12250</v>
      </c>
      <c r="I9" s="226">
        <f>SUM(I10:I34)</f>
        <v>6099</v>
      </c>
      <c r="J9" s="325">
        <f>SUM(T9)/G9</f>
        <v>27.19685013480634</v>
      </c>
      <c r="K9" s="23">
        <f>SUM(K10:K34)</f>
        <v>-7508</v>
      </c>
      <c r="L9" s="24">
        <f>SUM(L10:L34)</f>
        <v>-1691</v>
      </c>
      <c r="M9" s="24">
        <f>SUM(M10:M34)</f>
        <v>271</v>
      </c>
      <c r="N9" s="322">
        <f>J9-F9</f>
        <v>6.1820829811752027</v>
      </c>
      <c r="O9" s="227">
        <f>SUM(K9)/C9*100</f>
        <v>-19.798533832603766</v>
      </c>
      <c r="P9" s="228">
        <f>SUM(L9)/D9*100</f>
        <v>-12.129689405351122</v>
      </c>
      <c r="Q9" s="228">
        <f>SUM(M9)/E9*100</f>
        <v>4.6499656829100893</v>
      </c>
      <c r="R9" s="229">
        <f>N9/F9*100</f>
        <v>29.417803851835693</v>
      </c>
      <c r="T9" s="14">
        <f>SUM(U9:AF9)</f>
        <v>827165</v>
      </c>
      <c r="U9" s="14">
        <f t="shared" ref="U9:AF9" si="0">SUM(U10:U34)</f>
        <v>71001</v>
      </c>
      <c r="V9" s="14">
        <f t="shared" si="0"/>
        <v>71030</v>
      </c>
      <c r="W9" s="14">
        <f t="shared" si="0"/>
        <v>69031</v>
      </c>
      <c r="X9" s="14">
        <f t="shared" si="0"/>
        <v>66808</v>
      </c>
      <c r="Y9" s="14">
        <f t="shared" si="0"/>
        <v>64974</v>
      </c>
      <c r="Z9" s="14">
        <f t="shared" si="0"/>
        <v>65487</v>
      </c>
      <c r="AA9" s="14">
        <f t="shared" si="0"/>
        <v>67844</v>
      </c>
      <c r="AB9" s="14">
        <f t="shared" si="0"/>
        <v>69102</v>
      </c>
      <c r="AC9" s="14">
        <f t="shared" si="0"/>
        <v>69701</v>
      </c>
      <c r="AD9" s="14">
        <f t="shared" si="0"/>
        <v>69693</v>
      </c>
      <c r="AE9" s="14">
        <f t="shared" si="0"/>
        <v>70435</v>
      </c>
      <c r="AF9" s="14">
        <f t="shared" si="0"/>
        <v>72059</v>
      </c>
      <c r="AG9" s="14">
        <f>SUM(AH9:AS9)</f>
        <v>796922</v>
      </c>
      <c r="AH9" s="14">
        <f t="shared" ref="AH9:AS9" si="1">SUM(AH10:AH34)</f>
        <v>71027</v>
      </c>
      <c r="AI9" s="14">
        <f t="shared" si="1"/>
        <v>70751</v>
      </c>
      <c r="AJ9" s="14">
        <f t="shared" si="1"/>
        <v>68399</v>
      </c>
      <c r="AK9" s="14">
        <f t="shared" si="1"/>
        <v>66247</v>
      </c>
      <c r="AL9" s="14">
        <f t="shared" si="1"/>
        <v>64493</v>
      </c>
      <c r="AM9" s="14">
        <f t="shared" si="1"/>
        <v>63814</v>
      </c>
      <c r="AN9" s="14">
        <f t="shared" si="1"/>
        <v>64586</v>
      </c>
      <c r="AO9" s="14">
        <f t="shared" si="1"/>
        <v>65380</v>
      </c>
      <c r="AP9" s="14">
        <f t="shared" si="1"/>
        <v>64702</v>
      </c>
      <c r="AQ9" s="14">
        <f t="shared" si="1"/>
        <v>64563</v>
      </c>
      <c r="AR9" s="14">
        <f t="shared" si="1"/>
        <v>65624</v>
      </c>
      <c r="AS9" s="14">
        <f t="shared" si="1"/>
        <v>67336</v>
      </c>
    </row>
    <row r="10" spans="2:45" x14ac:dyDescent="0.25">
      <c r="B10" s="170" t="s">
        <v>14</v>
      </c>
      <c r="C10" s="36">
        <v>490</v>
      </c>
      <c r="D10" s="113">
        <v>244</v>
      </c>
      <c r="E10" s="113">
        <v>100</v>
      </c>
      <c r="F10" s="312">
        <f>SUM(AG10)/C10</f>
        <v>25.812244897959182</v>
      </c>
      <c r="G10" s="36">
        <v>348</v>
      </c>
      <c r="H10" s="113">
        <v>261</v>
      </c>
      <c r="I10" s="113">
        <v>112</v>
      </c>
      <c r="J10" s="312">
        <f t="shared" ref="J10:J34" si="2">SUM(T10)/G10</f>
        <v>36.954022988505749</v>
      </c>
      <c r="K10" s="36">
        <f>SUM(G10)-C10</f>
        <v>-142</v>
      </c>
      <c r="L10" s="113">
        <f t="shared" ref="L10:L34" si="3">SUM(H10)-D10</f>
        <v>17</v>
      </c>
      <c r="M10" s="113">
        <f>SUM(I10)-E10</f>
        <v>12</v>
      </c>
      <c r="N10" s="312">
        <f>J10-F10</f>
        <v>11.141778090546566</v>
      </c>
      <c r="O10" s="223">
        <f>SUM(K10)/C10*100</f>
        <v>-28.979591836734691</v>
      </c>
      <c r="P10" s="224">
        <f t="shared" ref="P10:P34" si="4">SUM(L10)/D10*100</f>
        <v>6.9672131147540979</v>
      </c>
      <c r="Q10" s="224">
        <f t="shared" ref="Q10:Q34" si="5">SUM(M10)/E10*100</f>
        <v>12</v>
      </c>
      <c r="R10" s="37">
        <f>N10/F10*100</f>
        <v>43.16470006615922</v>
      </c>
      <c r="T10" s="14">
        <f t="shared" ref="T10:T34" si="6">SUM(U10:AF10)</f>
        <v>12860</v>
      </c>
      <c r="U10" s="757">
        <v>1205</v>
      </c>
      <c r="V10" s="757">
        <v>1192</v>
      </c>
      <c r="W10" s="757">
        <v>1095</v>
      </c>
      <c r="X10" s="757">
        <v>1033</v>
      </c>
      <c r="Y10" s="757">
        <v>992</v>
      </c>
      <c r="Z10" s="757">
        <v>982</v>
      </c>
      <c r="AA10" s="757">
        <v>1022</v>
      </c>
      <c r="AB10" s="757">
        <v>1051</v>
      </c>
      <c r="AC10" s="757">
        <v>1039</v>
      </c>
      <c r="AD10" s="757">
        <v>1039</v>
      </c>
      <c r="AE10" s="757">
        <v>1098</v>
      </c>
      <c r="AF10" s="757">
        <v>1112</v>
      </c>
      <c r="AG10" s="14">
        <f t="shared" ref="AG10:AG34" si="7">SUM(AH10:AS10)</f>
        <v>12648</v>
      </c>
      <c r="AH10" s="757">
        <v>1132</v>
      </c>
      <c r="AI10" s="757">
        <v>1085</v>
      </c>
      <c r="AJ10" s="757">
        <v>1082</v>
      </c>
      <c r="AK10" s="757">
        <v>1039</v>
      </c>
      <c r="AL10" s="757">
        <v>1004</v>
      </c>
      <c r="AM10" s="757">
        <v>1031</v>
      </c>
      <c r="AN10" s="757">
        <v>1000</v>
      </c>
      <c r="AO10" s="757">
        <v>1020</v>
      </c>
      <c r="AP10" s="757">
        <v>1007</v>
      </c>
      <c r="AQ10" s="757">
        <v>1043</v>
      </c>
      <c r="AR10" s="757">
        <v>1075</v>
      </c>
      <c r="AS10" s="757">
        <v>1130</v>
      </c>
    </row>
    <row r="11" spans="2:45" x14ac:dyDescent="0.25">
      <c r="B11" s="175" t="s">
        <v>15</v>
      </c>
      <c r="C11" s="13">
        <v>779</v>
      </c>
      <c r="D11" s="14">
        <v>690</v>
      </c>
      <c r="E11" s="14">
        <v>221</v>
      </c>
      <c r="F11" s="313">
        <f>SUM(AG11)/C11</f>
        <v>56.02310654685494</v>
      </c>
      <c r="G11" s="13">
        <v>611</v>
      </c>
      <c r="H11" s="14">
        <v>553</v>
      </c>
      <c r="I11" s="14">
        <v>180</v>
      </c>
      <c r="J11" s="313">
        <f t="shared" si="2"/>
        <v>71.202945990180027</v>
      </c>
      <c r="K11" s="13">
        <f>SUM(G11)-C11</f>
        <v>-168</v>
      </c>
      <c r="L11" s="14">
        <f>SUM(H11)-D11</f>
        <v>-137</v>
      </c>
      <c r="M11" s="14">
        <f t="shared" ref="M11:M34" si="8">SUM(I11)-E11</f>
        <v>-41</v>
      </c>
      <c r="N11" s="314">
        <f t="shared" ref="N11:N34" si="9">J11-F11</f>
        <v>15.179839443325086</v>
      </c>
      <c r="O11" s="181">
        <f>SUM(K11)/C11*100</f>
        <v>-21.566110397946083</v>
      </c>
      <c r="P11" s="89">
        <f t="shared" si="4"/>
        <v>-19.855072463768117</v>
      </c>
      <c r="Q11" s="89">
        <f t="shared" si="5"/>
        <v>-18.552036199095024</v>
      </c>
      <c r="R11" s="31">
        <f t="shared" ref="R11:R34" si="10">N11/F11*100</f>
        <v>27.095676014734071</v>
      </c>
      <c r="T11" s="14">
        <f t="shared" si="6"/>
        <v>43505</v>
      </c>
      <c r="U11" s="757">
        <v>3954</v>
      </c>
      <c r="V11" s="757">
        <v>3912</v>
      </c>
      <c r="W11" s="757">
        <v>3773</v>
      </c>
      <c r="X11" s="757">
        <v>3619</v>
      </c>
      <c r="Y11" s="757">
        <v>3490</v>
      </c>
      <c r="Z11" s="757">
        <v>3452</v>
      </c>
      <c r="AA11" s="757">
        <v>3522</v>
      </c>
      <c r="AB11" s="757">
        <v>3503</v>
      </c>
      <c r="AC11" s="757">
        <v>3493</v>
      </c>
      <c r="AD11" s="757">
        <v>3507</v>
      </c>
      <c r="AE11" s="757">
        <v>3599</v>
      </c>
      <c r="AF11" s="757">
        <v>3681</v>
      </c>
      <c r="AG11" s="14">
        <f t="shared" si="7"/>
        <v>43642</v>
      </c>
      <c r="AH11" s="757">
        <v>3975</v>
      </c>
      <c r="AI11" s="757">
        <v>3957</v>
      </c>
      <c r="AJ11" s="757">
        <v>3778</v>
      </c>
      <c r="AK11" s="757">
        <v>3585</v>
      </c>
      <c r="AL11" s="757">
        <v>3437</v>
      </c>
      <c r="AM11" s="757">
        <v>3405</v>
      </c>
      <c r="AN11" s="757">
        <v>3484</v>
      </c>
      <c r="AO11" s="757">
        <v>3535</v>
      </c>
      <c r="AP11" s="757">
        <v>3508</v>
      </c>
      <c r="AQ11" s="757">
        <v>3520</v>
      </c>
      <c r="AR11" s="757">
        <v>3678</v>
      </c>
      <c r="AS11" s="757">
        <v>3780</v>
      </c>
    </row>
    <row r="12" spans="2:45" x14ac:dyDescent="0.25">
      <c r="B12" s="175" t="s">
        <v>16</v>
      </c>
      <c r="C12" s="13">
        <v>3111</v>
      </c>
      <c r="D12" s="14">
        <v>537</v>
      </c>
      <c r="E12" s="14">
        <v>224</v>
      </c>
      <c r="F12" s="313">
        <f>SUM(AG12)/C12</f>
        <v>9.0912889746062362</v>
      </c>
      <c r="G12" s="13">
        <v>2424</v>
      </c>
      <c r="H12" s="14">
        <v>399</v>
      </c>
      <c r="I12" s="14">
        <v>232</v>
      </c>
      <c r="J12" s="313">
        <f t="shared" si="2"/>
        <v>12.313943894389439</v>
      </c>
      <c r="K12" s="13">
        <f t="shared" ref="K12:K34" si="11">SUM(G12)-C12</f>
        <v>-687</v>
      </c>
      <c r="L12" s="14">
        <f t="shared" si="3"/>
        <v>-138</v>
      </c>
      <c r="M12" s="14">
        <f t="shared" si="8"/>
        <v>8</v>
      </c>
      <c r="N12" s="314">
        <f t="shared" si="9"/>
        <v>3.2226549197832028</v>
      </c>
      <c r="O12" s="181">
        <f t="shared" ref="O12:O34" si="12">SUM(K12)/C12*100</f>
        <v>-22.082931533269047</v>
      </c>
      <c r="P12" s="89">
        <f t="shared" si="4"/>
        <v>-25.69832402234637</v>
      </c>
      <c r="Q12" s="89">
        <f t="shared" si="5"/>
        <v>3.5714285714285712</v>
      </c>
      <c r="R12" s="31">
        <f t="shared" si="10"/>
        <v>35.447722856293687</v>
      </c>
      <c r="T12" s="14">
        <f t="shared" si="6"/>
        <v>29849</v>
      </c>
      <c r="U12" s="757">
        <v>2462</v>
      </c>
      <c r="V12" s="757">
        <v>2493</v>
      </c>
      <c r="W12" s="757">
        <v>2407</v>
      </c>
      <c r="X12" s="757">
        <v>2265</v>
      </c>
      <c r="Y12" s="757">
        <v>2158</v>
      </c>
      <c r="Z12" s="757">
        <v>2214</v>
      </c>
      <c r="AA12" s="757">
        <v>2412</v>
      </c>
      <c r="AB12" s="757">
        <v>2578</v>
      </c>
      <c r="AC12" s="757">
        <v>2660</v>
      </c>
      <c r="AD12" s="757">
        <v>2681</v>
      </c>
      <c r="AE12" s="757">
        <v>2719</v>
      </c>
      <c r="AF12" s="757">
        <v>2800</v>
      </c>
      <c r="AG12" s="14">
        <f t="shared" si="7"/>
        <v>28283</v>
      </c>
      <c r="AH12" s="757">
        <v>2625</v>
      </c>
      <c r="AI12" s="757">
        <v>2617</v>
      </c>
      <c r="AJ12" s="757">
        <v>2517</v>
      </c>
      <c r="AK12" s="757">
        <v>2394</v>
      </c>
      <c r="AL12" s="757">
        <v>2302</v>
      </c>
      <c r="AM12" s="757">
        <v>2260</v>
      </c>
      <c r="AN12" s="757">
        <v>2221</v>
      </c>
      <c r="AO12" s="757">
        <v>2297</v>
      </c>
      <c r="AP12" s="757">
        <v>2283</v>
      </c>
      <c r="AQ12" s="757">
        <v>2284</v>
      </c>
      <c r="AR12" s="757">
        <v>2236</v>
      </c>
      <c r="AS12" s="757">
        <v>2247</v>
      </c>
    </row>
    <row r="13" spans="2:45" x14ac:dyDescent="0.25">
      <c r="B13" s="175" t="s">
        <v>17</v>
      </c>
      <c r="C13" s="13">
        <v>1952</v>
      </c>
      <c r="D13" s="14">
        <v>953</v>
      </c>
      <c r="E13" s="14">
        <v>400</v>
      </c>
      <c r="F13" s="313">
        <f>SUM(AG13)/C13</f>
        <v>26.740778688524589</v>
      </c>
      <c r="G13" s="13">
        <v>1559</v>
      </c>
      <c r="H13" s="14">
        <v>763</v>
      </c>
      <c r="I13" s="14">
        <v>366</v>
      </c>
      <c r="J13" s="313">
        <f t="shared" si="2"/>
        <v>35.397049390635026</v>
      </c>
      <c r="K13" s="13">
        <f t="shared" si="11"/>
        <v>-393</v>
      </c>
      <c r="L13" s="14">
        <f t="shared" si="3"/>
        <v>-190</v>
      </c>
      <c r="M13" s="14">
        <f t="shared" si="8"/>
        <v>-34</v>
      </c>
      <c r="N13" s="314">
        <f t="shared" si="9"/>
        <v>8.6562707021104366</v>
      </c>
      <c r="O13" s="181">
        <f t="shared" si="12"/>
        <v>-20.133196721311474</v>
      </c>
      <c r="P13" s="89">
        <f t="shared" si="4"/>
        <v>-19.937040923399792</v>
      </c>
      <c r="Q13" s="89">
        <f t="shared" si="5"/>
        <v>-8.5</v>
      </c>
      <c r="R13" s="31">
        <f t="shared" si="10"/>
        <v>32.371049485649969</v>
      </c>
      <c r="T13" s="14">
        <f t="shared" si="6"/>
        <v>55184</v>
      </c>
      <c r="U13" s="757">
        <v>4806</v>
      </c>
      <c r="V13" s="757">
        <v>4930</v>
      </c>
      <c r="W13" s="757">
        <v>4643</v>
      </c>
      <c r="X13" s="757">
        <v>4438</v>
      </c>
      <c r="Y13" s="757">
        <v>4365</v>
      </c>
      <c r="Z13" s="757">
        <v>4380</v>
      </c>
      <c r="AA13" s="757">
        <v>4527</v>
      </c>
      <c r="AB13" s="757">
        <v>4552</v>
      </c>
      <c r="AC13" s="757">
        <v>4613</v>
      </c>
      <c r="AD13" s="757">
        <v>4600</v>
      </c>
      <c r="AE13" s="757">
        <v>4604</v>
      </c>
      <c r="AF13" s="757">
        <v>4726</v>
      </c>
      <c r="AG13" s="14">
        <f t="shared" si="7"/>
        <v>52198</v>
      </c>
      <c r="AH13" s="757">
        <v>4604</v>
      </c>
      <c r="AI13" s="757">
        <v>4569</v>
      </c>
      <c r="AJ13" s="757">
        <v>4469</v>
      </c>
      <c r="AK13" s="757">
        <v>4276</v>
      </c>
      <c r="AL13" s="757">
        <v>4173</v>
      </c>
      <c r="AM13" s="757">
        <v>4239</v>
      </c>
      <c r="AN13" s="757">
        <v>4290</v>
      </c>
      <c r="AO13" s="757">
        <v>4280</v>
      </c>
      <c r="AP13" s="757">
        <v>4266</v>
      </c>
      <c r="AQ13" s="757">
        <v>4257</v>
      </c>
      <c r="AR13" s="757">
        <v>4286</v>
      </c>
      <c r="AS13" s="757">
        <v>4489</v>
      </c>
    </row>
    <row r="14" spans="2:45" x14ac:dyDescent="0.25">
      <c r="B14" s="175" t="s">
        <v>18</v>
      </c>
      <c r="C14" s="13">
        <v>2552</v>
      </c>
      <c r="D14" s="14">
        <v>926</v>
      </c>
      <c r="E14" s="14">
        <v>323</v>
      </c>
      <c r="F14" s="313">
        <f t="shared" ref="F14:F34" si="13">SUM(AG14)/C14</f>
        <v>22.974529780564264</v>
      </c>
      <c r="G14" s="13">
        <v>2553</v>
      </c>
      <c r="H14" s="14">
        <v>835</v>
      </c>
      <c r="I14" s="14">
        <v>296</v>
      </c>
      <c r="J14" s="313">
        <f t="shared" si="2"/>
        <v>23.124167645906777</v>
      </c>
      <c r="K14" s="13">
        <f t="shared" si="11"/>
        <v>1</v>
      </c>
      <c r="L14" s="14">
        <f t="shared" si="3"/>
        <v>-91</v>
      </c>
      <c r="M14" s="14">
        <f t="shared" si="8"/>
        <v>-27</v>
      </c>
      <c r="N14" s="314">
        <f t="shared" si="9"/>
        <v>0.14963786534251255</v>
      </c>
      <c r="O14" s="181">
        <f t="shared" si="12"/>
        <v>3.9184952978056423E-2</v>
      </c>
      <c r="P14" s="89">
        <f t="shared" si="4"/>
        <v>-9.8272138228941674</v>
      </c>
      <c r="Q14" s="89">
        <f t="shared" si="5"/>
        <v>-8.3591331269349833</v>
      </c>
      <c r="R14" s="31">
        <f t="shared" si="10"/>
        <v>0.65132068761251216</v>
      </c>
      <c r="T14" s="14">
        <f>SUM(U14:AF14)</f>
        <v>59036</v>
      </c>
      <c r="U14" s="757">
        <v>5096</v>
      </c>
      <c r="V14" s="757">
        <v>5092</v>
      </c>
      <c r="W14" s="757">
        <v>4996</v>
      </c>
      <c r="X14" s="757">
        <v>4833</v>
      </c>
      <c r="Y14" s="757">
        <v>4634</v>
      </c>
      <c r="Z14" s="757">
        <v>4650</v>
      </c>
      <c r="AA14" s="757">
        <v>4799</v>
      </c>
      <c r="AB14" s="757">
        <v>4849</v>
      </c>
      <c r="AC14" s="757">
        <v>4903</v>
      </c>
      <c r="AD14" s="757">
        <v>4940</v>
      </c>
      <c r="AE14" s="757">
        <v>5046</v>
      </c>
      <c r="AF14" s="757">
        <v>5198</v>
      </c>
      <c r="AG14" s="14">
        <f t="shared" si="7"/>
        <v>58631</v>
      </c>
      <c r="AH14" s="757">
        <v>5393</v>
      </c>
      <c r="AI14" s="757">
        <v>5253</v>
      </c>
      <c r="AJ14" s="757">
        <v>5146</v>
      </c>
      <c r="AK14" s="757">
        <v>4902</v>
      </c>
      <c r="AL14" s="757">
        <v>4775</v>
      </c>
      <c r="AM14" s="757">
        <v>4693</v>
      </c>
      <c r="AN14" s="757">
        <v>4706</v>
      </c>
      <c r="AO14" s="757">
        <v>4717</v>
      </c>
      <c r="AP14" s="757">
        <v>4613</v>
      </c>
      <c r="AQ14" s="757">
        <v>4685</v>
      </c>
      <c r="AR14" s="757">
        <v>4829</v>
      </c>
      <c r="AS14" s="757">
        <v>4919</v>
      </c>
    </row>
    <row r="15" spans="2:45" x14ac:dyDescent="0.25">
      <c r="B15" s="175" t="s">
        <v>19</v>
      </c>
      <c r="C15" s="13">
        <v>1091</v>
      </c>
      <c r="D15" s="14">
        <v>421</v>
      </c>
      <c r="E15" s="14">
        <v>153</v>
      </c>
      <c r="F15" s="313">
        <f t="shared" si="13"/>
        <v>16.885426214482127</v>
      </c>
      <c r="G15" s="13">
        <v>654</v>
      </c>
      <c r="H15" s="14">
        <v>341</v>
      </c>
      <c r="I15" s="14">
        <v>123</v>
      </c>
      <c r="J15" s="313">
        <f t="shared" si="2"/>
        <v>28.996941896024463</v>
      </c>
      <c r="K15" s="13">
        <f t="shared" si="11"/>
        <v>-437</v>
      </c>
      <c r="L15" s="14">
        <f t="shared" si="3"/>
        <v>-80</v>
      </c>
      <c r="M15" s="14">
        <f t="shared" si="8"/>
        <v>-30</v>
      </c>
      <c r="N15" s="314">
        <f t="shared" si="9"/>
        <v>12.111515681542336</v>
      </c>
      <c r="O15" s="181">
        <f t="shared" si="12"/>
        <v>-40.05499541704858</v>
      </c>
      <c r="P15" s="89">
        <f t="shared" si="4"/>
        <v>-19.002375296912113</v>
      </c>
      <c r="Q15" s="89">
        <f t="shared" si="5"/>
        <v>-19.607843137254903</v>
      </c>
      <c r="R15" s="31">
        <f t="shared" si="10"/>
        <v>71.727627882763471</v>
      </c>
      <c r="T15" s="14">
        <f t="shared" si="6"/>
        <v>18964</v>
      </c>
      <c r="U15" s="757">
        <v>1615</v>
      </c>
      <c r="V15" s="757">
        <v>1623</v>
      </c>
      <c r="W15" s="757">
        <v>1625</v>
      </c>
      <c r="X15" s="757">
        <v>1536</v>
      </c>
      <c r="Y15" s="757">
        <v>1476</v>
      </c>
      <c r="Z15" s="757">
        <v>1480</v>
      </c>
      <c r="AA15" s="757">
        <v>1551</v>
      </c>
      <c r="AB15" s="757">
        <v>1599</v>
      </c>
      <c r="AC15" s="757">
        <v>1585</v>
      </c>
      <c r="AD15" s="757">
        <v>1588</v>
      </c>
      <c r="AE15" s="757">
        <v>1609</v>
      </c>
      <c r="AF15" s="757">
        <v>1677</v>
      </c>
      <c r="AG15" s="14">
        <f t="shared" si="7"/>
        <v>18422</v>
      </c>
      <c r="AH15" s="757">
        <v>1563</v>
      </c>
      <c r="AI15" s="757">
        <v>1620</v>
      </c>
      <c r="AJ15" s="757">
        <v>1571</v>
      </c>
      <c r="AK15" s="757">
        <v>1525</v>
      </c>
      <c r="AL15" s="757">
        <v>1494</v>
      </c>
      <c r="AM15" s="757">
        <v>1509</v>
      </c>
      <c r="AN15" s="757">
        <v>1505</v>
      </c>
      <c r="AO15" s="757">
        <v>1544</v>
      </c>
      <c r="AP15" s="757">
        <v>1526</v>
      </c>
      <c r="AQ15" s="757">
        <v>1509</v>
      </c>
      <c r="AR15" s="757">
        <v>1520</v>
      </c>
      <c r="AS15" s="757">
        <v>1536</v>
      </c>
    </row>
    <row r="16" spans="2:45" x14ac:dyDescent="0.25">
      <c r="B16" s="175" t="s">
        <v>20</v>
      </c>
      <c r="C16" s="13">
        <v>938</v>
      </c>
      <c r="D16" s="14">
        <v>319</v>
      </c>
      <c r="E16" s="14">
        <v>92</v>
      </c>
      <c r="F16" s="313">
        <f t="shared" si="13"/>
        <v>29.13859275053305</v>
      </c>
      <c r="G16" s="13">
        <v>656</v>
      </c>
      <c r="H16" s="14">
        <v>274</v>
      </c>
      <c r="I16" s="14">
        <v>110</v>
      </c>
      <c r="J16" s="313">
        <f t="shared" si="2"/>
        <v>45.128048780487802</v>
      </c>
      <c r="K16" s="13">
        <f t="shared" si="11"/>
        <v>-282</v>
      </c>
      <c r="L16" s="14">
        <f t="shared" si="3"/>
        <v>-45</v>
      </c>
      <c r="M16" s="14">
        <f t="shared" si="8"/>
        <v>18</v>
      </c>
      <c r="N16" s="314">
        <f t="shared" si="9"/>
        <v>15.989456029954752</v>
      </c>
      <c r="O16" s="181">
        <f t="shared" si="12"/>
        <v>-30.06396588486141</v>
      </c>
      <c r="P16" s="89">
        <f t="shared" si="4"/>
        <v>-14.106583072100312</v>
      </c>
      <c r="Q16" s="89">
        <f t="shared" si="5"/>
        <v>19.565217391304348</v>
      </c>
      <c r="R16" s="31">
        <f t="shared" si="10"/>
        <v>54.873810025236189</v>
      </c>
      <c r="T16" s="14">
        <f t="shared" si="6"/>
        <v>29604</v>
      </c>
      <c r="U16" s="757">
        <v>2512</v>
      </c>
      <c r="V16" s="757">
        <v>2548</v>
      </c>
      <c r="W16" s="757">
        <v>2479</v>
      </c>
      <c r="X16" s="757">
        <v>2409</v>
      </c>
      <c r="Y16" s="757">
        <v>2341</v>
      </c>
      <c r="Z16" s="757">
        <v>2372</v>
      </c>
      <c r="AA16" s="757">
        <v>2392</v>
      </c>
      <c r="AB16" s="757">
        <v>2451</v>
      </c>
      <c r="AC16" s="757">
        <v>2442</v>
      </c>
      <c r="AD16" s="757">
        <v>2505</v>
      </c>
      <c r="AE16" s="757">
        <v>2529</v>
      </c>
      <c r="AF16" s="757">
        <v>2624</v>
      </c>
      <c r="AG16" s="14">
        <f t="shared" si="7"/>
        <v>27332</v>
      </c>
      <c r="AH16" s="757">
        <v>2437</v>
      </c>
      <c r="AI16" s="757">
        <v>2504</v>
      </c>
      <c r="AJ16" s="757">
        <v>2407</v>
      </c>
      <c r="AK16" s="757">
        <v>2316</v>
      </c>
      <c r="AL16" s="757">
        <v>2200</v>
      </c>
      <c r="AM16" s="757">
        <v>2136</v>
      </c>
      <c r="AN16" s="757">
        <v>2158</v>
      </c>
      <c r="AO16" s="757">
        <v>2154</v>
      </c>
      <c r="AP16" s="757">
        <v>2181</v>
      </c>
      <c r="AQ16" s="757">
        <v>2211</v>
      </c>
      <c r="AR16" s="757">
        <v>2272</v>
      </c>
      <c r="AS16" s="757">
        <v>2356</v>
      </c>
    </row>
    <row r="17" spans="2:45" x14ac:dyDescent="0.25">
      <c r="B17" s="175" t="s">
        <v>21</v>
      </c>
      <c r="C17" s="13">
        <v>439</v>
      </c>
      <c r="D17" s="14">
        <v>219</v>
      </c>
      <c r="E17" s="14">
        <v>66</v>
      </c>
      <c r="F17" s="313">
        <f t="shared" si="13"/>
        <v>44.589977220956719</v>
      </c>
      <c r="G17" s="13">
        <v>393</v>
      </c>
      <c r="H17" s="14">
        <v>243</v>
      </c>
      <c r="I17" s="14">
        <v>97</v>
      </c>
      <c r="J17" s="313">
        <f t="shared" si="2"/>
        <v>50.201017811704837</v>
      </c>
      <c r="K17" s="13">
        <f t="shared" si="11"/>
        <v>-46</v>
      </c>
      <c r="L17" s="14">
        <f t="shared" si="3"/>
        <v>24</v>
      </c>
      <c r="M17" s="14">
        <f t="shared" si="8"/>
        <v>31</v>
      </c>
      <c r="N17" s="314">
        <f t="shared" si="9"/>
        <v>5.611040590748118</v>
      </c>
      <c r="O17" s="181">
        <f t="shared" si="12"/>
        <v>-10.478359908883828</v>
      </c>
      <c r="P17" s="89">
        <f t="shared" si="4"/>
        <v>10.95890410958904</v>
      </c>
      <c r="Q17" s="89">
        <f t="shared" si="5"/>
        <v>46.969696969696969</v>
      </c>
      <c r="R17" s="31">
        <f t="shared" si="10"/>
        <v>12.583636369544948</v>
      </c>
      <c r="T17" s="14">
        <f t="shared" si="6"/>
        <v>19729</v>
      </c>
      <c r="U17" s="757">
        <v>1772</v>
      </c>
      <c r="V17" s="757">
        <v>1763</v>
      </c>
      <c r="W17" s="757">
        <v>1701</v>
      </c>
      <c r="X17" s="757">
        <v>1635</v>
      </c>
      <c r="Y17" s="757">
        <v>1531</v>
      </c>
      <c r="Z17" s="757">
        <v>1522</v>
      </c>
      <c r="AA17" s="757">
        <v>1558</v>
      </c>
      <c r="AB17" s="757">
        <v>1566</v>
      </c>
      <c r="AC17" s="757">
        <v>1577</v>
      </c>
      <c r="AD17" s="757">
        <v>1635</v>
      </c>
      <c r="AE17" s="757">
        <v>1715</v>
      </c>
      <c r="AF17" s="757">
        <v>1754</v>
      </c>
      <c r="AG17" s="14">
        <f t="shared" si="7"/>
        <v>19575</v>
      </c>
      <c r="AH17" s="757">
        <v>1788</v>
      </c>
      <c r="AI17" s="757">
        <v>1788</v>
      </c>
      <c r="AJ17" s="757">
        <v>1733</v>
      </c>
      <c r="AK17" s="757">
        <v>1676</v>
      </c>
      <c r="AL17" s="757">
        <v>1596</v>
      </c>
      <c r="AM17" s="757">
        <v>1531</v>
      </c>
      <c r="AN17" s="757">
        <v>1492</v>
      </c>
      <c r="AO17" s="757">
        <v>1512</v>
      </c>
      <c r="AP17" s="757">
        <v>1513</v>
      </c>
      <c r="AQ17" s="757">
        <v>1547</v>
      </c>
      <c r="AR17" s="757">
        <v>1673</v>
      </c>
      <c r="AS17" s="757">
        <v>1726</v>
      </c>
    </row>
    <row r="18" spans="2:45" x14ac:dyDescent="0.25">
      <c r="B18" s="175" t="s">
        <v>22</v>
      </c>
      <c r="C18" s="13">
        <v>1170</v>
      </c>
      <c r="D18" s="14">
        <v>594</v>
      </c>
      <c r="E18" s="14">
        <v>205</v>
      </c>
      <c r="F18" s="313">
        <f t="shared" si="13"/>
        <v>30.45128205128205</v>
      </c>
      <c r="G18" s="13">
        <v>962</v>
      </c>
      <c r="H18" s="14">
        <v>582</v>
      </c>
      <c r="I18" s="14">
        <v>191</v>
      </c>
      <c r="J18" s="313">
        <f t="shared" si="2"/>
        <v>36.601871101871104</v>
      </c>
      <c r="K18" s="13">
        <f t="shared" si="11"/>
        <v>-208</v>
      </c>
      <c r="L18" s="14">
        <f t="shared" si="3"/>
        <v>-12</v>
      </c>
      <c r="M18" s="14">
        <f t="shared" si="8"/>
        <v>-14</v>
      </c>
      <c r="N18" s="314">
        <f t="shared" si="9"/>
        <v>6.1505890505890548</v>
      </c>
      <c r="O18" s="181">
        <f t="shared" si="12"/>
        <v>-17.777777777777779</v>
      </c>
      <c r="P18" s="89">
        <f t="shared" si="4"/>
        <v>-2.0202020202020203</v>
      </c>
      <c r="Q18" s="89">
        <f t="shared" si="5"/>
        <v>-6.8292682926829276</v>
      </c>
      <c r="R18" s="31">
        <f t="shared" si="10"/>
        <v>20.198128407963384</v>
      </c>
      <c r="T18" s="14">
        <f t="shared" si="6"/>
        <v>35211</v>
      </c>
      <c r="U18" s="757">
        <v>3144</v>
      </c>
      <c r="V18" s="757">
        <v>3187</v>
      </c>
      <c r="W18" s="757">
        <v>3010</v>
      </c>
      <c r="X18" s="757">
        <v>2865</v>
      </c>
      <c r="Y18" s="757">
        <v>2806</v>
      </c>
      <c r="Z18" s="757">
        <v>2840</v>
      </c>
      <c r="AA18" s="757">
        <v>2896</v>
      </c>
      <c r="AB18" s="757">
        <v>2874</v>
      </c>
      <c r="AC18" s="757">
        <v>2877</v>
      </c>
      <c r="AD18" s="757">
        <v>2850</v>
      </c>
      <c r="AE18" s="757">
        <v>2861</v>
      </c>
      <c r="AF18" s="757">
        <v>3001</v>
      </c>
      <c r="AG18" s="14">
        <f t="shared" si="7"/>
        <v>35628</v>
      </c>
      <c r="AH18" s="757">
        <v>3262</v>
      </c>
      <c r="AI18" s="757">
        <v>3279</v>
      </c>
      <c r="AJ18" s="757">
        <v>3128</v>
      </c>
      <c r="AK18" s="757">
        <v>3042</v>
      </c>
      <c r="AL18" s="757">
        <v>2952</v>
      </c>
      <c r="AM18" s="757">
        <v>2809</v>
      </c>
      <c r="AN18" s="757">
        <v>2812</v>
      </c>
      <c r="AO18" s="757">
        <v>2853</v>
      </c>
      <c r="AP18" s="757">
        <v>2819</v>
      </c>
      <c r="AQ18" s="757">
        <v>2826</v>
      </c>
      <c r="AR18" s="757">
        <v>2871</v>
      </c>
      <c r="AS18" s="757">
        <v>2975</v>
      </c>
    </row>
    <row r="19" spans="2:45" x14ac:dyDescent="0.25">
      <c r="B19" s="175" t="s">
        <v>23</v>
      </c>
      <c r="C19" s="13">
        <v>824</v>
      </c>
      <c r="D19" s="14">
        <v>529</v>
      </c>
      <c r="E19" s="14">
        <v>208</v>
      </c>
      <c r="F19" s="313">
        <f t="shared" si="13"/>
        <v>24.674757281553397</v>
      </c>
      <c r="G19" s="13">
        <v>737</v>
      </c>
      <c r="H19" s="14">
        <v>491</v>
      </c>
      <c r="I19" s="14">
        <v>218</v>
      </c>
      <c r="J19" s="313">
        <f t="shared" si="2"/>
        <v>27.246947082767978</v>
      </c>
      <c r="K19" s="13">
        <f t="shared" si="11"/>
        <v>-87</v>
      </c>
      <c r="L19" s="14">
        <f t="shared" si="3"/>
        <v>-38</v>
      </c>
      <c r="M19" s="14">
        <f t="shared" si="8"/>
        <v>10</v>
      </c>
      <c r="N19" s="314">
        <f t="shared" si="9"/>
        <v>2.5721898012145807</v>
      </c>
      <c r="O19" s="181">
        <f t="shared" si="12"/>
        <v>-10.558252427184465</v>
      </c>
      <c r="P19" s="89">
        <f t="shared" si="4"/>
        <v>-7.1833648393194709</v>
      </c>
      <c r="Q19" s="89">
        <f t="shared" si="5"/>
        <v>4.8076923076923084</v>
      </c>
      <c r="R19" s="31">
        <f t="shared" si="10"/>
        <v>10.424377317533025</v>
      </c>
      <c r="T19" s="14">
        <f t="shared" si="6"/>
        <v>20081</v>
      </c>
      <c r="U19" s="757">
        <v>1845</v>
      </c>
      <c r="V19" s="757">
        <v>1793</v>
      </c>
      <c r="W19" s="757">
        <v>1708</v>
      </c>
      <c r="X19" s="757">
        <v>1603</v>
      </c>
      <c r="Y19" s="757">
        <v>1499</v>
      </c>
      <c r="Z19" s="757">
        <v>1528</v>
      </c>
      <c r="AA19" s="757">
        <v>1610</v>
      </c>
      <c r="AB19" s="757">
        <v>1648</v>
      </c>
      <c r="AC19" s="757">
        <v>1659</v>
      </c>
      <c r="AD19" s="757">
        <v>1679</v>
      </c>
      <c r="AE19" s="757">
        <v>1721</v>
      </c>
      <c r="AF19" s="757">
        <v>1788</v>
      </c>
      <c r="AG19" s="14">
        <f t="shared" si="7"/>
        <v>20332</v>
      </c>
      <c r="AH19" s="757">
        <v>1943</v>
      </c>
      <c r="AI19" s="757">
        <v>1903</v>
      </c>
      <c r="AJ19" s="757">
        <v>1769</v>
      </c>
      <c r="AK19" s="757">
        <v>1656</v>
      </c>
      <c r="AL19" s="757">
        <v>1622</v>
      </c>
      <c r="AM19" s="757">
        <v>1586</v>
      </c>
      <c r="AN19" s="757">
        <v>1594</v>
      </c>
      <c r="AO19" s="757">
        <v>1638</v>
      </c>
      <c r="AP19" s="757">
        <v>1603</v>
      </c>
      <c r="AQ19" s="757">
        <v>1632</v>
      </c>
      <c r="AR19" s="757">
        <v>1682</v>
      </c>
      <c r="AS19" s="757">
        <v>1704</v>
      </c>
    </row>
    <row r="20" spans="2:45" x14ac:dyDescent="0.25">
      <c r="B20" s="175" t="s">
        <v>24</v>
      </c>
      <c r="C20" s="13">
        <v>919</v>
      </c>
      <c r="D20" s="14">
        <v>507</v>
      </c>
      <c r="E20" s="14">
        <v>257</v>
      </c>
      <c r="F20" s="313">
        <f t="shared" si="13"/>
        <v>32.47334058759521</v>
      </c>
      <c r="G20" s="13">
        <v>837</v>
      </c>
      <c r="H20" s="14">
        <v>515</v>
      </c>
      <c r="I20" s="14">
        <v>222</v>
      </c>
      <c r="J20" s="313">
        <f t="shared" si="2"/>
        <v>35.796893667861411</v>
      </c>
      <c r="K20" s="13">
        <f t="shared" si="11"/>
        <v>-82</v>
      </c>
      <c r="L20" s="14">
        <f t="shared" si="3"/>
        <v>8</v>
      </c>
      <c r="M20" s="14">
        <f t="shared" si="8"/>
        <v>-35</v>
      </c>
      <c r="N20" s="314">
        <f t="shared" si="9"/>
        <v>3.3235530802662012</v>
      </c>
      <c r="O20" s="181">
        <f t="shared" si="12"/>
        <v>-8.9227421109902068</v>
      </c>
      <c r="P20" s="89">
        <f t="shared" si="4"/>
        <v>1.5779092702169626</v>
      </c>
      <c r="Q20" s="89">
        <f t="shared" si="5"/>
        <v>-13.618677042801556</v>
      </c>
      <c r="R20" s="31">
        <f t="shared" si="10"/>
        <v>10.234712598480847</v>
      </c>
      <c r="T20" s="14">
        <f t="shared" si="6"/>
        <v>29962</v>
      </c>
      <c r="U20" s="757">
        <v>2677</v>
      </c>
      <c r="V20" s="757">
        <v>2641</v>
      </c>
      <c r="W20" s="757">
        <v>2552</v>
      </c>
      <c r="X20" s="757">
        <v>2469</v>
      </c>
      <c r="Y20" s="757">
        <v>2381</v>
      </c>
      <c r="Z20" s="757">
        <v>2323</v>
      </c>
      <c r="AA20" s="757">
        <v>2391</v>
      </c>
      <c r="AB20" s="757">
        <v>2452</v>
      </c>
      <c r="AC20" s="757">
        <v>2456</v>
      </c>
      <c r="AD20" s="757">
        <v>2461</v>
      </c>
      <c r="AE20" s="757">
        <v>2530</v>
      </c>
      <c r="AF20" s="757">
        <v>2629</v>
      </c>
      <c r="AG20" s="14">
        <f t="shared" si="7"/>
        <v>29843</v>
      </c>
      <c r="AH20" s="757">
        <v>2710</v>
      </c>
      <c r="AI20" s="757">
        <v>2679</v>
      </c>
      <c r="AJ20" s="757">
        <v>2611</v>
      </c>
      <c r="AK20" s="757">
        <v>2501</v>
      </c>
      <c r="AL20" s="757">
        <v>2402</v>
      </c>
      <c r="AM20" s="757">
        <v>2401</v>
      </c>
      <c r="AN20" s="757">
        <v>2387</v>
      </c>
      <c r="AO20" s="757">
        <v>2478</v>
      </c>
      <c r="AP20" s="757">
        <v>2399</v>
      </c>
      <c r="AQ20" s="757">
        <v>2344</v>
      </c>
      <c r="AR20" s="757">
        <v>2412</v>
      </c>
      <c r="AS20" s="757">
        <v>2519</v>
      </c>
    </row>
    <row r="21" spans="2:45" x14ac:dyDescent="0.25">
      <c r="B21" s="175" t="s">
        <v>25</v>
      </c>
      <c r="C21" s="13">
        <v>3370</v>
      </c>
      <c r="D21" s="14">
        <v>736</v>
      </c>
      <c r="E21" s="14">
        <v>253</v>
      </c>
      <c r="F21" s="313">
        <f t="shared" si="13"/>
        <v>10.643026706231455</v>
      </c>
      <c r="G21" s="13">
        <v>2398</v>
      </c>
      <c r="H21" s="14">
        <v>801</v>
      </c>
      <c r="I21" s="14">
        <v>232</v>
      </c>
      <c r="J21" s="313">
        <f t="shared" si="2"/>
        <v>16.405754795663054</v>
      </c>
      <c r="K21" s="13">
        <f t="shared" si="11"/>
        <v>-972</v>
      </c>
      <c r="L21" s="14">
        <f t="shared" si="3"/>
        <v>65</v>
      </c>
      <c r="M21" s="14">
        <f t="shared" si="8"/>
        <v>-21</v>
      </c>
      <c r="N21" s="314">
        <f t="shared" si="9"/>
        <v>5.7627280894315991</v>
      </c>
      <c r="O21" s="181">
        <f t="shared" si="12"/>
        <v>-28.84272997032641</v>
      </c>
      <c r="P21" s="89">
        <f t="shared" si="4"/>
        <v>8.8315217391304355</v>
      </c>
      <c r="Q21" s="89">
        <f t="shared" si="5"/>
        <v>-8.3003952569169961</v>
      </c>
      <c r="R21" s="31">
        <f t="shared" si="10"/>
        <v>54.145575769884537</v>
      </c>
      <c r="T21" s="14">
        <f t="shared" si="6"/>
        <v>39341</v>
      </c>
      <c r="U21" s="757">
        <v>3167</v>
      </c>
      <c r="V21" s="757">
        <v>3238</v>
      </c>
      <c r="W21" s="757">
        <v>3166</v>
      </c>
      <c r="X21" s="757">
        <v>3081</v>
      </c>
      <c r="Y21" s="757">
        <v>2998</v>
      </c>
      <c r="Z21" s="757">
        <v>3112</v>
      </c>
      <c r="AA21" s="757">
        <v>3293</v>
      </c>
      <c r="AB21" s="757">
        <v>3444</v>
      </c>
      <c r="AC21" s="757">
        <v>3477</v>
      </c>
      <c r="AD21" s="757">
        <v>3449</v>
      </c>
      <c r="AE21" s="757">
        <v>3414</v>
      </c>
      <c r="AF21" s="757">
        <v>3502</v>
      </c>
      <c r="AG21" s="14">
        <f t="shared" si="7"/>
        <v>35867</v>
      </c>
      <c r="AH21" s="757">
        <v>2994</v>
      </c>
      <c r="AI21" s="757">
        <v>3037</v>
      </c>
      <c r="AJ21" s="757">
        <v>2948</v>
      </c>
      <c r="AK21" s="757">
        <v>2872</v>
      </c>
      <c r="AL21" s="757">
        <v>2822</v>
      </c>
      <c r="AM21" s="757">
        <v>2872</v>
      </c>
      <c r="AN21" s="757">
        <v>2993</v>
      </c>
      <c r="AO21" s="757">
        <v>3128</v>
      </c>
      <c r="AP21" s="757">
        <v>3022</v>
      </c>
      <c r="AQ21" s="757">
        <v>3066</v>
      </c>
      <c r="AR21" s="757">
        <v>3038</v>
      </c>
      <c r="AS21" s="757">
        <v>3075</v>
      </c>
    </row>
    <row r="22" spans="2:45" x14ac:dyDescent="0.25">
      <c r="B22" s="175" t="s">
        <v>26</v>
      </c>
      <c r="C22" s="13">
        <v>908</v>
      </c>
      <c r="D22" s="14">
        <v>641</v>
      </c>
      <c r="E22" s="14">
        <v>261</v>
      </c>
      <c r="F22" s="313">
        <f t="shared" si="13"/>
        <v>38.718061674008808</v>
      </c>
      <c r="G22" s="13">
        <v>793</v>
      </c>
      <c r="H22" s="14">
        <v>541</v>
      </c>
      <c r="I22" s="14">
        <v>242</v>
      </c>
      <c r="J22" s="313">
        <f t="shared" si="2"/>
        <v>44.18158890290038</v>
      </c>
      <c r="K22" s="13">
        <f t="shared" si="11"/>
        <v>-115</v>
      </c>
      <c r="L22" s="14">
        <f t="shared" si="3"/>
        <v>-100</v>
      </c>
      <c r="M22" s="14">
        <f t="shared" si="8"/>
        <v>-19</v>
      </c>
      <c r="N22" s="314">
        <f t="shared" si="9"/>
        <v>5.4635272288915715</v>
      </c>
      <c r="O22" s="181">
        <f t="shared" si="12"/>
        <v>-12.665198237885464</v>
      </c>
      <c r="P22" s="89">
        <f t="shared" si="4"/>
        <v>-15.600624024960998</v>
      </c>
      <c r="Q22" s="89">
        <f t="shared" si="5"/>
        <v>-7.2796934865900385</v>
      </c>
      <c r="R22" s="31">
        <f t="shared" si="10"/>
        <v>14.11105564863337</v>
      </c>
      <c r="T22" s="14">
        <f t="shared" si="6"/>
        <v>35036</v>
      </c>
      <c r="U22" s="757">
        <v>3089</v>
      </c>
      <c r="V22" s="757">
        <v>3117</v>
      </c>
      <c r="W22" s="757">
        <v>2997</v>
      </c>
      <c r="X22" s="757">
        <v>2870</v>
      </c>
      <c r="Y22" s="757">
        <v>2801</v>
      </c>
      <c r="Z22" s="757">
        <v>2804</v>
      </c>
      <c r="AA22" s="757">
        <v>2876</v>
      </c>
      <c r="AB22" s="757">
        <v>2893</v>
      </c>
      <c r="AC22" s="757">
        <v>2909</v>
      </c>
      <c r="AD22" s="757">
        <v>2879</v>
      </c>
      <c r="AE22" s="757">
        <v>2862</v>
      </c>
      <c r="AF22" s="757">
        <v>2939</v>
      </c>
      <c r="AG22" s="14">
        <f t="shared" si="7"/>
        <v>35156</v>
      </c>
      <c r="AH22" s="757">
        <v>3233</v>
      </c>
      <c r="AI22" s="757">
        <v>3129</v>
      </c>
      <c r="AJ22" s="757">
        <v>2984</v>
      </c>
      <c r="AK22" s="757">
        <v>2937</v>
      </c>
      <c r="AL22" s="757">
        <v>2863</v>
      </c>
      <c r="AM22" s="757">
        <v>2794</v>
      </c>
      <c r="AN22" s="757">
        <v>2878</v>
      </c>
      <c r="AO22" s="757">
        <v>2858</v>
      </c>
      <c r="AP22" s="757">
        <v>2906</v>
      </c>
      <c r="AQ22" s="757">
        <v>2803</v>
      </c>
      <c r="AR22" s="757">
        <v>2842</v>
      </c>
      <c r="AS22" s="757">
        <v>2929</v>
      </c>
    </row>
    <row r="23" spans="2:45" x14ac:dyDescent="0.25">
      <c r="B23" s="176" t="s">
        <v>27</v>
      </c>
      <c r="C23" s="106">
        <v>447</v>
      </c>
      <c r="D23" s="107">
        <v>326</v>
      </c>
      <c r="E23" s="14">
        <v>176</v>
      </c>
      <c r="F23" s="323">
        <f t="shared" si="13"/>
        <v>76.796420581655482</v>
      </c>
      <c r="G23" s="106">
        <v>361</v>
      </c>
      <c r="H23" s="107">
        <v>284</v>
      </c>
      <c r="I23" s="14">
        <v>153</v>
      </c>
      <c r="J23" s="323">
        <f t="shared" si="2"/>
        <v>97.310249307479225</v>
      </c>
      <c r="K23" s="106">
        <f t="shared" si="11"/>
        <v>-86</v>
      </c>
      <c r="L23" s="107">
        <f t="shared" si="3"/>
        <v>-42</v>
      </c>
      <c r="M23" s="14">
        <f t="shared" si="8"/>
        <v>-23</v>
      </c>
      <c r="N23" s="314">
        <f t="shared" si="9"/>
        <v>20.513828725823743</v>
      </c>
      <c r="O23" s="182">
        <f t="shared" si="12"/>
        <v>-19.239373601789708</v>
      </c>
      <c r="P23" s="183">
        <f>SUM(L23)/D23*100</f>
        <v>-12.883435582822086</v>
      </c>
      <c r="Q23" s="89">
        <f>SUM(M23)/E23*100</f>
        <v>-13.068181818181818</v>
      </c>
      <c r="R23" s="31">
        <f t="shared" si="10"/>
        <v>26.711959451302764</v>
      </c>
      <c r="T23" s="107">
        <f t="shared" si="6"/>
        <v>35129</v>
      </c>
      <c r="U23" s="757">
        <v>3107</v>
      </c>
      <c r="V23" s="757">
        <v>3067</v>
      </c>
      <c r="W23" s="757">
        <v>2930</v>
      </c>
      <c r="X23" s="757">
        <v>2855</v>
      </c>
      <c r="Y23" s="757">
        <v>2806</v>
      </c>
      <c r="Z23" s="757">
        <v>2834</v>
      </c>
      <c r="AA23" s="757">
        <v>2870</v>
      </c>
      <c r="AB23" s="757">
        <v>2895</v>
      </c>
      <c r="AC23" s="757">
        <v>2933</v>
      </c>
      <c r="AD23" s="757">
        <v>2890</v>
      </c>
      <c r="AE23" s="757">
        <v>2906</v>
      </c>
      <c r="AF23" s="757">
        <v>3036</v>
      </c>
      <c r="AG23" s="107">
        <f t="shared" si="7"/>
        <v>34328</v>
      </c>
      <c r="AH23" s="757">
        <v>3144</v>
      </c>
      <c r="AI23" s="757">
        <v>3107</v>
      </c>
      <c r="AJ23" s="757">
        <v>2935</v>
      </c>
      <c r="AK23" s="757">
        <v>2792</v>
      </c>
      <c r="AL23" s="757">
        <v>2764</v>
      </c>
      <c r="AM23" s="757">
        <v>2711</v>
      </c>
      <c r="AN23" s="757">
        <v>2771</v>
      </c>
      <c r="AO23" s="757">
        <v>2793</v>
      </c>
      <c r="AP23" s="757">
        <v>2768</v>
      </c>
      <c r="AQ23" s="757">
        <v>2775</v>
      </c>
      <c r="AR23" s="757">
        <v>2810</v>
      </c>
      <c r="AS23" s="757">
        <v>2958</v>
      </c>
    </row>
    <row r="24" spans="2:45" x14ac:dyDescent="0.25">
      <c r="B24" s="176" t="s">
        <v>28</v>
      </c>
      <c r="C24" s="106">
        <v>2598</v>
      </c>
      <c r="D24" s="107">
        <v>998</v>
      </c>
      <c r="E24" s="14">
        <v>518</v>
      </c>
      <c r="F24" s="323">
        <f t="shared" si="13"/>
        <v>15.041955350269438</v>
      </c>
      <c r="G24" s="106">
        <v>1645</v>
      </c>
      <c r="H24" s="107">
        <v>796</v>
      </c>
      <c r="I24" s="14">
        <v>369</v>
      </c>
      <c r="J24" s="323">
        <f t="shared" si="2"/>
        <v>25.015805471124619</v>
      </c>
      <c r="K24" s="106">
        <f t="shared" si="11"/>
        <v>-953</v>
      </c>
      <c r="L24" s="107">
        <f t="shared" si="3"/>
        <v>-202</v>
      </c>
      <c r="M24" s="14">
        <f t="shared" si="8"/>
        <v>-149</v>
      </c>
      <c r="N24" s="314">
        <f t="shared" si="9"/>
        <v>9.9738501208551806</v>
      </c>
      <c r="O24" s="182">
        <f t="shared" si="12"/>
        <v>-36.682063125481143</v>
      </c>
      <c r="P24" s="183">
        <f t="shared" si="4"/>
        <v>-20.240480961923847</v>
      </c>
      <c r="Q24" s="89">
        <f t="shared" si="5"/>
        <v>-28.764478764478763</v>
      </c>
      <c r="R24" s="31">
        <f t="shared" si="10"/>
        <v>66.306872268946904</v>
      </c>
      <c r="T24" s="107">
        <f t="shared" si="6"/>
        <v>41151</v>
      </c>
      <c r="U24" s="757">
        <v>3501</v>
      </c>
      <c r="V24" s="757">
        <v>3438</v>
      </c>
      <c r="W24" s="757">
        <v>3391</v>
      </c>
      <c r="X24" s="757">
        <v>3322</v>
      </c>
      <c r="Y24" s="757">
        <v>3257</v>
      </c>
      <c r="Z24" s="757">
        <v>3277</v>
      </c>
      <c r="AA24" s="757">
        <v>3381</v>
      </c>
      <c r="AB24" s="757">
        <v>3475</v>
      </c>
      <c r="AC24" s="757">
        <v>3511</v>
      </c>
      <c r="AD24" s="757">
        <v>3487</v>
      </c>
      <c r="AE24" s="757">
        <v>3501</v>
      </c>
      <c r="AF24" s="757">
        <v>3610</v>
      </c>
      <c r="AG24" s="107">
        <f t="shared" si="7"/>
        <v>39079</v>
      </c>
      <c r="AH24" s="757">
        <v>3467</v>
      </c>
      <c r="AI24" s="757">
        <v>3401</v>
      </c>
      <c r="AJ24" s="757">
        <v>3199</v>
      </c>
      <c r="AK24" s="757">
        <v>3160</v>
      </c>
      <c r="AL24" s="757">
        <v>3130</v>
      </c>
      <c r="AM24" s="757">
        <v>3161</v>
      </c>
      <c r="AN24" s="757">
        <v>3169</v>
      </c>
      <c r="AO24" s="757">
        <v>3286</v>
      </c>
      <c r="AP24" s="757">
        <v>3268</v>
      </c>
      <c r="AQ24" s="757">
        <v>3221</v>
      </c>
      <c r="AR24" s="757">
        <v>3280</v>
      </c>
      <c r="AS24" s="757">
        <v>3337</v>
      </c>
    </row>
    <row r="25" spans="2:45" x14ac:dyDescent="0.25">
      <c r="B25" s="176" t="s">
        <v>29</v>
      </c>
      <c r="C25" s="106">
        <v>1170</v>
      </c>
      <c r="D25" s="107">
        <v>609</v>
      </c>
      <c r="E25" s="14">
        <v>271</v>
      </c>
      <c r="F25" s="323">
        <f t="shared" si="13"/>
        <v>26.888888888888889</v>
      </c>
      <c r="G25" s="106">
        <v>998</v>
      </c>
      <c r="H25" s="107">
        <v>490</v>
      </c>
      <c r="I25" s="14">
        <v>329</v>
      </c>
      <c r="J25" s="323">
        <f t="shared" si="2"/>
        <v>33.243486973947896</v>
      </c>
      <c r="K25" s="106">
        <f t="shared" si="11"/>
        <v>-172</v>
      </c>
      <c r="L25" s="107">
        <f t="shared" si="3"/>
        <v>-119</v>
      </c>
      <c r="M25" s="14">
        <f t="shared" si="8"/>
        <v>58</v>
      </c>
      <c r="N25" s="314">
        <f t="shared" si="9"/>
        <v>6.3545980850590063</v>
      </c>
      <c r="O25" s="182">
        <f t="shared" si="12"/>
        <v>-14.700854700854702</v>
      </c>
      <c r="P25" s="183">
        <f t="shared" si="4"/>
        <v>-19.540229885057471</v>
      </c>
      <c r="Q25" s="89">
        <f t="shared" si="5"/>
        <v>21.402214022140221</v>
      </c>
      <c r="R25" s="31">
        <f t="shared" si="10"/>
        <v>23.632802795673989</v>
      </c>
      <c r="T25" s="107">
        <f t="shared" si="6"/>
        <v>33177</v>
      </c>
      <c r="U25" s="757">
        <v>2798</v>
      </c>
      <c r="V25" s="757">
        <v>2743</v>
      </c>
      <c r="W25" s="757">
        <v>2741</v>
      </c>
      <c r="X25" s="757">
        <v>2661</v>
      </c>
      <c r="Y25" s="757">
        <v>2608</v>
      </c>
      <c r="Z25" s="757">
        <v>2631</v>
      </c>
      <c r="AA25" s="757">
        <v>2768</v>
      </c>
      <c r="AB25" s="757">
        <v>2809</v>
      </c>
      <c r="AC25" s="757">
        <v>2850</v>
      </c>
      <c r="AD25" s="757">
        <v>2836</v>
      </c>
      <c r="AE25" s="757">
        <v>2813</v>
      </c>
      <c r="AF25" s="757">
        <v>2919</v>
      </c>
      <c r="AG25" s="107">
        <f t="shared" si="7"/>
        <v>31460</v>
      </c>
      <c r="AH25" s="757">
        <v>2707</v>
      </c>
      <c r="AI25" s="757">
        <v>2677</v>
      </c>
      <c r="AJ25" s="757">
        <v>2609</v>
      </c>
      <c r="AK25" s="757">
        <v>2695</v>
      </c>
      <c r="AL25" s="757">
        <v>2605</v>
      </c>
      <c r="AM25" s="757">
        <v>2556</v>
      </c>
      <c r="AN25" s="757">
        <v>2570</v>
      </c>
      <c r="AO25" s="757">
        <v>2583</v>
      </c>
      <c r="AP25" s="757">
        <v>2608</v>
      </c>
      <c r="AQ25" s="757">
        <v>2596</v>
      </c>
      <c r="AR25" s="757">
        <v>2581</v>
      </c>
      <c r="AS25" s="757">
        <v>2673</v>
      </c>
    </row>
    <row r="26" spans="2:45" x14ac:dyDescent="0.25">
      <c r="B26" s="176" t="s">
        <v>30</v>
      </c>
      <c r="C26" s="106">
        <v>1731</v>
      </c>
      <c r="D26" s="107">
        <v>552</v>
      </c>
      <c r="E26" s="14">
        <v>165</v>
      </c>
      <c r="F26" s="323">
        <f t="shared" si="13"/>
        <v>31.513575967648759</v>
      </c>
      <c r="G26" s="106">
        <v>1533</v>
      </c>
      <c r="H26" s="107">
        <v>444</v>
      </c>
      <c r="I26" s="14">
        <v>217</v>
      </c>
      <c r="J26" s="323">
        <f t="shared" si="2"/>
        <v>37.144161774298759</v>
      </c>
      <c r="K26" s="106">
        <f t="shared" si="11"/>
        <v>-198</v>
      </c>
      <c r="L26" s="107">
        <f t="shared" si="3"/>
        <v>-108</v>
      </c>
      <c r="M26" s="14">
        <f t="shared" si="8"/>
        <v>52</v>
      </c>
      <c r="N26" s="314">
        <f t="shared" si="9"/>
        <v>5.6305858066500001</v>
      </c>
      <c r="O26" s="182">
        <f t="shared" si="12"/>
        <v>-11.438474870017332</v>
      </c>
      <c r="P26" s="183">
        <f t="shared" si="4"/>
        <v>-19.565217391304348</v>
      </c>
      <c r="Q26" s="89">
        <f t="shared" si="5"/>
        <v>31.515151515151512</v>
      </c>
      <c r="R26" s="31">
        <f t="shared" si="10"/>
        <v>17.867175126143263</v>
      </c>
      <c r="T26" s="107">
        <f t="shared" si="6"/>
        <v>56942</v>
      </c>
      <c r="U26" s="757">
        <v>4716</v>
      </c>
      <c r="V26" s="757">
        <v>4727</v>
      </c>
      <c r="W26" s="757">
        <v>4650</v>
      </c>
      <c r="X26" s="757">
        <v>4600</v>
      </c>
      <c r="Y26" s="757">
        <v>4466</v>
      </c>
      <c r="Z26" s="757">
        <v>4507</v>
      </c>
      <c r="AA26" s="757">
        <v>4651</v>
      </c>
      <c r="AB26" s="757">
        <v>4819</v>
      </c>
      <c r="AC26" s="757">
        <v>4898</v>
      </c>
      <c r="AD26" s="757">
        <v>4921</v>
      </c>
      <c r="AE26" s="757">
        <v>4995</v>
      </c>
      <c r="AF26" s="757">
        <v>4992</v>
      </c>
      <c r="AG26" s="107">
        <f t="shared" si="7"/>
        <v>54550</v>
      </c>
      <c r="AH26" s="757">
        <v>4760</v>
      </c>
      <c r="AI26" s="757">
        <v>4809</v>
      </c>
      <c r="AJ26" s="757">
        <v>4709</v>
      </c>
      <c r="AK26" s="757">
        <v>4604</v>
      </c>
      <c r="AL26" s="757">
        <v>4469</v>
      </c>
      <c r="AM26" s="757">
        <v>4423</v>
      </c>
      <c r="AN26" s="757">
        <v>4458</v>
      </c>
      <c r="AO26" s="757">
        <v>4455</v>
      </c>
      <c r="AP26" s="757">
        <v>4440</v>
      </c>
      <c r="AQ26" s="757">
        <v>4410</v>
      </c>
      <c r="AR26" s="757">
        <v>4473</v>
      </c>
      <c r="AS26" s="757">
        <v>4540</v>
      </c>
    </row>
    <row r="27" spans="2:45" x14ac:dyDescent="0.25">
      <c r="B27" s="176" t="s">
        <v>31</v>
      </c>
      <c r="C27" s="106">
        <v>920</v>
      </c>
      <c r="D27" s="107">
        <v>448</v>
      </c>
      <c r="E27" s="14">
        <v>115</v>
      </c>
      <c r="F27" s="323">
        <f t="shared" si="13"/>
        <v>36.18369565217391</v>
      </c>
      <c r="G27" s="106">
        <v>668</v>
      </c>
      <c r="H27" s="107">
        <v>363</v>
      </c>
      <c r="I27" s="14">
        <v>87</v>
      </c>
      <c r="J27" s="323">
        <f t="shared" si="2"/>
        <v>53.817365269461078</v>
      </c>
      <c r="K27" s="106">
        <f t="shared" si="11"/>
        <v>-252</v>
      </c>
      <c r="L27" s="107">
        <f t="shared" si="3"/>
        <v>-85</v>
      </c>
      <c r="M27" s="14">
        <f t="shared" si="8"/>
        <v>-28</v>
      </c>
      <c r="N27" s="314">
        <f t="shared" si="9"/>
        <v>17.633669617287168</v>
      </c>
      <c r="O27" s="182">
        <f>SUM(K27)/C27*100</f>
        <v>-27.391304347826086</v>
      </c>
      <c r="P27" s="183">
        <f t="shared" si="4"/>
        <v>-18.973214285714285</v>
      </c>
      <c r="Q27" s="89">
        <f t="shared" si="5"/>
        <v>-24.347826086956523</v>
      </c>
      <c r="R27" s="31">
        <f t="shared" si="10"/>
        <v>48.733744023263533</v>
      </c>
      <c r="T27" s="107">
        <f t="shared" si="6"/>
        <v>35950</v>
      </c>
      <c r="U27" s="757">
        <v>3051</v>
      </c>
      <c r="V27" s="757">
        <v>3080</v>
      </c>
      <c r="W27" s="757">
        <v>3097</v>
      </c>
      <c r="X27" s="757">
        <v>2987</v>
      </c>
      <c r="Y27" s="757">
        <v>2859</v>
      </c>
      <c r="Z27" s="757">
        <v>2839</v>
      </c>
      <c r="AA27" s="757">
        <v>2953</v>
      </c>
      <c r="AB27" s="757">
        <v>2979</v>
      </c>
      <c r="AC27" s="757">
        <v>2998</v>
      </c>
      <c r="AD27" s="757">
        <v>3007</v>
      </c>
      <c r="AE27" s="757">
        <v>3032</v>
      </c>
      <c r="AF27" s="757">
        <v>3068</v>
      </c>
      <c r="AG27" s="107">
        <f t="shared" si="7"/>
        <v>33289</v>
      </c>
      <c r="AH27" s="757">
        <v>2879</v>
      </c>
      <c r="AI27" s="757">
        <v>2908</v>
      </c>
      <c r="AJ27" s="757">
        <v>2883</v>
      </c>
      <c r="AK27" s="757">
        <v>2728</v>
      </c>
      <c r="AL27" s="757">
        <v>2681</v>
      </c>
      <c r="AM27" s="757">
        <v>2659</v>
      </c>
      <c r="AN27" s="757">
        <v>2721</v>
      </c>
      <c r="AO27" s="757">
        <v>2714</v>
      </c>
      <c r="AP27" s="757">
        <v>2726</v>
      </c>
      <c r="AQ27" s="757">
        <v>2720</v>
      </c>
      <c r="AR27" s="757">
        <v>2789</v>
      </c>
      <c r="AS27" s="757">
        <v>2881</v>
      </c>
    </row>
    <row r="28" spans="2:45" x14ac:dyDescent="0.25">
      <c r="B28" s="176" t="s">
        <v>32</v>
      </c>
      <c r="C28" s="106">
        <v>1141</v>
      </c>
      <c r="D28" s="107">
        <v>531</v>
      </c>
      <c r="E28" s="14">
        <v>212</v>
      </c>
      <c r="F28" s="323">
        <f t="shared" si="13"/>
        <v>20.923751095530235</v>
      </c>
      <c r="G28" s="106">
        <v>838</v>
      </c>
      <c r="H28" s="107">
        <v>470</v>
      </c>
      <c r="I28" s="14">
        <v>201</v>
      </c>
      <c r="J28" s="323">
        <f t="shared" si="2"/>
        <v>33.039379474940333</v>
      </c>
      <c r="K28" s="106">
        <f t="shared" si="11"/>
        <v>-303</v>
      </c>
      <c r="L28" s="107">
        <f t="shared" si="3"/>
        <v>-61</v>
      </c>
      <c r="M28" s="14">
        <f t="shared" si="8"/>
        <v>-11</v>
      </c>
      <c r="N28" s="314">
        <f t="shared" si="9"/>
        <v>12.115628379410097</v>
      </c>
      <c r="O28" s="182">
        <f t="shared" si="12"/>
        <v>-26.555652936021033</v>
      </c>
      <c r="P28" s="183">
        <f t="shared" si="4"/>
        <v>-11.487758945386064</v>
      </c>
      <c r="Q28" s="89">
        <f t="shared" si="5"/>
        <v>-5.1886792452830193</v>
      </c>
      <c r="R28" s="31">
        <f t="shared" si="10"/>
        <v>57.903711070230891</v>
      </c>
      <c r="T28" s="107">
        <f t="shared" si="6"/>
        <v>27687</v>
      </c>
      <c r="U28" s="757">
        <v>2261</v>
      </c>
      <c r="V28" s="757">
        <v>2331</v>
      </c>
      <c r="W28" s="757">
        <v>2304</v>
      </c>
      <c r="X28" s="757">
        <v>2206</v>
      </c>
      <c r="Y28" s="757">
        <v>2174</v>
      </c>
      <c r="Z28" s="757">
        <v>2211</v>
      </c>
      <c r="AA28" s="757">
        <v>2286</v>
      </c>
      <c r="AB28" s="757">
        <v>2339</v>
      </c>
      <c r="AC28" s="757">
        <v>2353</v>
      </c>
      <c r="AD28" s="757">
        <v>2361</v>
      </c>
      <c r="AE28" s="757">
        <v>2416</v>
      </c>
      <c r="AF28" s="757">
        <v>2445</v>
      </c>
      <c r="AG28" s="107">
        <f t="shared" si="7"/>
        <v>23874</v>
      </c>
      <c r="AH28" s="757">
        <v>2063</v>
      </c>
      <c r="AI28" s="757">
        <v>2079</v>
      </c>
      <c r="AJ28" s="757">
        <v>2023</v>
      </c>
      <c r="AK28" s="757">
        <v>1959</v>
      </c>
      <c r="AL28" s="757">
        <v>1877</v>
      </c>
      <c r="AM28" s="757">
        <v>1860</v>
      </c>
      <c r="AN28" s="757">
        <v>1960</v>
      </c>
      <c r="AO28" s="757">
        <v>1980</v>
      </c>
      <c r="AP28" s="757">
        <v>1951</v>
      </c>
      <c r="AQ28" s="757">
        <v>1979</v>
      </c>
      <c r="AR28" s="757">
        <v>2045</v>
      </c>
      <c r="AS28" s="757">
        <v>2098</v>
      </c>
    </row>
    <row r="29" spans="2:45" x14ac:dyDescent="0.25">
      <c r="B29" s="176" t="s">
        <v>33</v>
      </c>
      <c r="C29" s="106">
        <v>1307</v>
      </c>
      <c r="D29" s="107">
        <v>644</v>
      </c>
      <c r="E29" s="14">
        <v>297</v>
      </c>
      <c r="F29" s="323">
        <f t="shared" si="13"/>
        <v>28.232593726090283</v>
      </c>
      <c r="G29" s="106">
        <v>1360</v>
      </c>
      <c r="H29" s="107">
        <v>757</v>
      </c>
      <c r="I29" s="14">
        <v>336</v>
      </c>
      <c r="J29" s="323">
        <f t="shared" si="2"/>
        <v>27.258823529411764</v>
      </c>
      <c r="K29" s="106">
        <f t="shared" si="11"/>
        <v>53</v>
      </c>
      <c r="L29" s="107">
        <f t="shared" si="3"/>
        <v>113</v>
      </c>
      <c r="M29" s="14">
        <f t="shared" si="8"/>
        <v>39</v>
      </c>
      <c r="N29" s="314">
        <f t="shared" si="9"/>
        <v>-0.97377019667851883</v>
      </c>
      <c r="O29" s="182">
        <f t="shared" si="12"/>
        <v>4.0550879877582249</v>
      </c>
      <c r="P29" s="183">
        <f t="shared" si="4"/>
        <v>17.546583850931675</v>
      </c>
      <c r="Q29" s="89">
        <f t="shared" si="5"/>
        <v>13.131313131313133</v>
      </c>
      <c r="R29" s="31">
        <f t="shared" si="10"/>
        <v>-3.4490993145225586</v>
      </c>
      <c r="T29" s="107">
        <f t="shared" si="6"/>
        <v>37072</v>
      </c>
      <c r="U29" s="757">
        <v>3292</v>
      </c>
      <c r="V29" s="757">
        <v>3186</v>
      </c>
      <c r="W29" s="757">
        <v>3101</v>
      </c>
      <c r="X29" s="757">
        <v>2996</v>
      </c>
      <c r="Y29" s="757">
        <v>2917</v>
      </c>
      <c r="Z29" s="757">
        <v>2935</v>
      </c>
      <c r="AA29" s="757">
        <v>3069</v>
      </c>
      <c r="AB29" s="757">
        <v>3113</v>
      </c>
      <c r="AC29" s="757">
        <v>3085</v>
      </c>
      <c r="AD29" s="757">
        <v>3094</v>
      </c>
      <c r="AE29" s="757">
        <v>3102</v>
      </c>
      <c r="AF29" s="757">
        <v>3182</v>
      </c>
      <c r="AG29" s="107">
        <f t="shared" si="7"/>
        <v>36900</v>
      </c>
      <c r="AH29" s="757">
        <v>3295</v>
      </c>
      <c r="AI29" s="757">
        <v>3236</v>
      </c>
      <c r="AJ29" s="757">
        <v>3133</v>
      </c>
      <c r="AK29" s="757">
        <v>3059</v>
      </c>
      <c r="AL29" s="757">
        <v>3063</v>
      </c>
      <c r="AM29" s="757">
        <v>3008</v>
      </c>
      <c r="AN29" s="757">
        <v>3042</v>
      </c>
      <c r="AO29" s="757">
        <v>3044</v>
      </c>
      <c r="AP29" s="757">
        <v>2988</v>
      </c>
      <c r="AQ29" s="757">
        <v>2955</v>
      </c>
      <c r="AR29" s="757">
        <v>2964</v>
      </c>
      <c r="AS29" s="757">
        <v>3113</v>
      </c>
    </row>
    <row r="30" spans="2:45" x14ac:dyDescent="0.25">
      <c r="B30" s="176" t="s">
        <v>34</v>
      </c>
      <c r="C30" s="106">
        <v>977</v>
      </c>
      <c r="D30" s="107">
        <v>355</v>
      </c>
      <c r="E30" s="14">
        <v>237</v>
      </c>
      <c r="F30" s="323">
        <f t="shared" si="13"/>
        <v>15.33265097236438</v>
      </c>
      <c r="G30" s="106">
        <v>656</v>
      </c>
      <c r="H30" s="107">
        <v>228</v>
      </c>
      <c r="I30" s="14">
        <v>160</v>
      </c>
      <c r="J30" s="323">
        <f t="shared" si="2"/>
        <v>24.036585365853657</v>
      </c>
      <c r="K30" s="106">
        <f t="shared" si="11"/>
        <v>-321</v>
      </c>
      <c r="L30" s="107">
        <f t="shared" si="3"/>
        <v>-127</v>
      </c>
      <c r="M30" s="14">
        <f t="shared" si="8"/>
        <v>-77</v>
      </c>
      <c r="N30" s="314">
        <f t="shared" si="9"/>
        <v>8.703934393489277</v>
      </c>
      <c r="O30" s="182">
        <f t="shared" si="12"/>
        <v>-32.855680655066536</v>
      </c>
      <c r="P30" s="183">
        <f t="shared" si="4"/>
        <v>-35.774647887323944</v>
      </c>
      <c r="Q30" s="89">
        <f t="shared" si="5"/>
        <v>-32.489451476793249</v>
      </c>
      <c r="R30" s="31">
        <f t="shared" si="10"/>
        <v>56.767315770620982</v>
      </c>
      <c r="T30" s="107">
        <f t="shared" si="6"/>
        <v>15768</v>
      </c>
      <c r="U30" s="757">
        <v>1336</v>
      </c>
      <c r="V30" s="757">
        <v>1350</v>
      </c>
      <c r="W30" s="757">
        <v>1253</v>
      </c>
      <c r="X30" s="757">
        <v>1222</v>
      </c>
      <c r="Y30" s="757">
        <v>1215</v>
      </c>
      <c r="Z30" s="757">
        <v>1234</v>
      </c>
      <c r="AA30" s="757">
        <v>1279</v>
      </c>
      <c r="AB30" s="757">
        <v>1308</v>
      </c>
      <c r="AC30" s="757">
        <v>1364</v>
      </c>
      <c r="AD30" s="757">
        <v>1390</v>
      </c>
      <c r="AE30" s="757">
        <v>1395</v>
      </c>
      <c r="AF30" s="757">
        <v>1422</v>
      </c>
      <c r="AG30" s="107">
        <f t="shared" si="7"/>
        <v>14980</v>
      </c>
      <c r="AH30" s="757">
        <v>1347</v>
      </c>
      <c r="AI30" s="757">
        <v>1359</v>
      </c>
      <c r="AJ30" s="757">
        <v>1298</v>
      </c>
      <c r="AK30" s="757">
        <v>1228</v>
      </c>
      <c r="AL30" s="757">
        <v>1193</v>
      </c>
      <c r="AM30" s="757">
        <v>1196</v>
      </c>
      <c r="AN30" s="757">
        <v>1252</v>
      </c>
      <c r="AO30" s="757">
        <v>1254</v>
      </c>
      <c r="AP30" s="757">
        <v>1207</v>
      </c>
      <c r="AQ30" s="757">
        <v>1175</v>
      </c>
      <c r="AR30" s="757">
        <v>1228</v>
      </c>
      <c r="AS30" s="757">
        <v>1243</v>
      </c>
    </row>
    <row r="31" spans="2:45" x14ac:dyDescent="0.25">
      <c r="B31" s="176" t="s">
        <v>35</v>
      </c>
      <c r="C31" s="106">
        <v>1117</v>
      </c>
      <c r="D31" s="107">
        <v>300</v>
      </c>
      <c r="E31" s="14">
        <v>110</v>
      </c>
      <c r="F31" s="323">
        <f t="shared" si="13"/>
        <v>8.8281110116383168</v>
      </c>
      <c r="G31" s="106">
        <v>739</v>
      </c>
      <c r="H31" s="107">
        <v>317</v>
      </c>
      <c r="I31" s="14">
        <v>158</v>
      </c>
      <c r="J31" s="323">
        <f t="shared" si="2"/>
        <v>15.16914749661705</v>
      </c>
      <c r="K31" s="106">
        <f t="shared" si="11"/>
        <v>-378</v>
      </c>
      <c r="L31" s="107">
        <f t="shared" si="3"/>
        <v>17</v>
      </c>
      <c r="M31" s="14">
        <f t="shared" si="8"/>
        <v>48</v>
      </c>
      <c r="N31" s="314">
        <f t="shared" si="9"/>
        <v>6.3410364849787335</v>
      </c>
      <c r="O31" s="182">
        <f t="shared" si="12"/>
        <v>-33.840644583706357</v>
      </c>
      <c r="P31" s="183">
        <f t="shared" si="4"/>
        <v>5.6666666666666661</v>
      </c>
      <c r="Q31" s="89">
        <f t="shared" si="5"/>
        <v>43.636363636363633</v>
      </c>
      <c r="R31" s="31">
        <f t="shared" si="10"/>
        <v>71.827783731074391</v>
      </c>
      <c r="T31" s="107">
        <f t="shared" si="6"/>
        <v>11210</v>
      </c>
      <c r="U31" s="757">
        <v>899</v>
      </c>
      <c r="V31" s="757">
        <v>897</v>
      </c>
      <c r="W31" s="757">
        <v>882</v>
      </c>
      <c r="X31" s="757">
        <v>864</v>
      </c>
      <c r="Y31" s="757">
        <v>871</v>
      </c>
      <c r="Z31" s="757">
        <v>887</v>
      </c>
      <c r="AA31" s="757">
        <v>949</v>
      </c>
      <c r="AB31" s="757">
        <v>967</v>
      </c>
      <c r="AC31" s="757">
        <v>981</v>
      </c>
      <c r="AD31" s="757">
        <v>990</v>
      </c>
      <c r="AE31" s="757">
        <v>999</v>
      </c>
      <c r="AF31" s="757">
        <v>1024</v>
      </c>
      <c r="AG31" s="107">
        <f t="shared" si="7"/>
        <v>9861</v>
      </c>
      <c r="AH31" s="757">
        <v>891</v>
      </c>
      <c r="AI31" s="757">
        <v>906</v>
      </c>
      <c r="AJ31" s="757">
        <v>875</v>
      </c>
      <c r="AK31" s="757">
        <v>862</v>
      </c>
      <c r="AL31" s="757">
        <v>814</v>
      </c>
      <c r="AM31" s="757">
        <v>767</v>
      </c>
      <c r="AN31" s="757">
        <v>784</v>
      </c>
      <c r="AO31" s="757">
        <v>805</v>
      </c>
      <c r="AP31" s="757">
        <v>781</v>
      </c>
      <c r="AQ31" s="757">
        <v>773</v>
      </c>
      <c r="AR31" s="757">
        <v>789</v>
      </c>
      <c r="AS31" s="757">
        <v>814</v>
      </c>
    </row>
    <row r="32" spans="2:45" x14ac:dyDescent="0.25">
      <c r="B32" s="176" t="s">
        <v>36</v>
      </c>
      <c r="C32" s="106">
        <v>900</v>
      </c>
      <c r="D32" s="107">
        <v>539</v>
      </c>
      <c r="E32" s="14">
        <v>277</v>
      </c>
      <c r="F32" s="323">
        <f t="shared" si="13"/>
        <v>31.067777777777778</v>
      </c>
      <c r="G32" s="106">
        <v>766</v>
      </c>
      <c r="H32" s="107">
        <v>440</v>
      </c>
      <c r="I32" s="14">
        <v>266</v>
      </c>
      <c r="J32" s="323">
        <f t="shared" si="2"/>
        <v>37.73237597911227</v>
      </c>
      <c r="K32" s="106">
        <f t="shared" si="11"/>
        <v>-134</v>
      </c>
      <c r="L32" s="107">
        <f t="shared" si="3"/>
        <v>-99</v>
      </c>
      <c r="M32" s="14">
        <f t="shared" si="8"/>
        <v>-11</v>
      </c>
      <c r="N32" s="314">
        <f t="shared" si="9"/>
        <v>6.664598201334492</v>
      </c>
      <c r="O32" s="182">
        <f t="shared" si="12"/>
        <v>-14.888888888888888</v>
      </c>
      <c r="P32" s="183">
        <f t="shared" si="4"/>
        <v>-18.367346938775512</v>
      </c>
      <c r="Q32" s="89">
        <f t="shared" si="5"/>
        <v>-3.9711191335740073</v>
      </c>
      <c r="R32" s="31">
        <f t="shared" si="10"/>
        <v>21.45180208576604</v>
      </c>
      <c r="T32" s="107">
        <f t="shared" si="6"/>
        <v>28903</v>
      </c>
      <c r="U32" s="757">
        <v>2479</v>
      </c>
      <c r="V32" s="757">
        <v>2431</v>
      </c>
      <c r="W32" s="757">
        <v>2355</v>
      </c>
      <c r="X32" s="757">
        <v>2319</v>
      </c>
      <c r="Y32" s="757">
        <v>2338</v>
      </c>
      <c r="Z32" s="757">
        <v>2355</v>
      </c>
      <c r="AA32" s="757">
        <v>2421</v>
      </c>
      <c r="AB32" s="757">
        <v>2456</v>
      </c>
      <c r="AC32" s="757">
        <v>2489</v>
      </c>
      <c r="AD32" s="757">
        <v>2408</v>
      </c>
      <c r="AE32" s="757">
        <v>2407</v>
      </c>
      <c r="AF32" s="757">
        <v>2445</v>
      </c>
      <c r="AG32" s="107">
        <f t="shared" si="7"/>
        <v>27961</v>
      </c>
      <c r="AH32" s="757">
        <v>2534</v>
      </c>
      <c r="AI32" s="757">
        <v>2506</v>
      </c>
      <c r="AJ32" s="757">
        <v>2357</v>
      </c>
      <c r="AK32" s="757">
        <v>2314</v>
      </c>
      <c r="AL32" s="757">
        <v>2275</v>
      </c>
      <c r="AM32" s="757">
        <v>2240</v>
      </c>
      <c r="AN32" s="757">
        <v>2249</v>
      </c>
      <c r="AO32" s="757">
        <v>2282</v>
      </c>
      <c r="AP32" s="757">
        <v>2284</v>
      </c>
      <c r="AQ32" s="757">
        <v>2287</v>
      </c>
      <c r="AR32" s="757">
        <v>2295</v>
      </c>
      <c r="AS32" s="757">
        <v>2338</v>
      </c>
    </row>
    <row r="33" spans="2:45" x14ac:dyDescent="0.25">
      <c r="B33" s="176" t="s">
        <v>37</v>
      </c>
      <c r="C33" s="106">
        <v>6328</v>
      </c>
      <c r="D33" s="107">
        <v>989</v>
      </c>
      <c r="E33" s="14">
        <v>557</v>
      </c>
      <c r="F33" s="323">
        <f t="shared" si="13"/>
        <v>9.519279393173198</v>
      </c>
      <c r="G33" s="106">
        <v>5386</v>
      </c>
      <c r="H33" s="107">
        <v>819</v>
      </c>
      <c r="I33" s="14">
        <v>1056</v>
      </c>
      <c r="J33" s="323">
        <f t="shared" si="2"/>
        <v>11.647419235053844</v>
      </c>
      <c r="K33" s="106">
        <f t="shared" si="11"/>
        <v>-942</v>
      </c>
      <c r="L33" s="107">
        <f t="shared" si="3"/>
        <v>-170</v>
      </c>
      <c r="M33" s="14">
        <f t="shared" si="8"/>
        <v>499</v>
      </c>
      <c r="N33" s="314">
        <f t="shared" si="9"/>
        <v>2.1281398418806461</v>
      </c>
      <c r="O33" s="182">
        <f t="shared" si="12"/>
        <v>-14.88621997471555</v>
      </c>
      <c r="P33" s="183">
        <f t="shared" si="4"/>
        <v>-17.189079878665321</v>
      </c>
      <c r="Q33" s="89">
        <f t="shared" si="5"/>
        <v>89.587073608617601</v>
      </c>
      <c r="R33" s="31">
        <f t="shared" si="10"/>
        <v>22.356102326472875</v>
      </c>
      <c r="T33" s="107">
        <f t="shared" si="6"/>
        <v>62733</v>
      </c>
      <c r="U33" s="757">
        <v>5125</v>
      </c>
      <c r="V33" s="757">
        <v>5141</v>
      </c>
      <c r="W33" s="757">
        <v>5127</v>
      </c>
      <c r="X33" s="757">
        <v>5107</v>
      </c>
      <c r="Y33" s="757">
        <v>4981</v>
      </c>
      <c r="Z33" s="757">
        <v>5083</v>
      </c>
      <c r="AA33" s="757">
        <v>5292</v>
      </c>
      <c r="AB33" s="757">
        <v>5378</v>
      </c>
      <c r="AC33" s="757">
        <v>5420</v>
      </c>
      <c r="AD33" s="757">
        <v>5357</v>
      </c>
      <c r="AE33" s="757">
        <v>5404</v>
      </c>
      <c r="AF33" s="757">
        <v>5318</v>
      </c>
      <c r="AG33" s="107">
        <f t="shared" si="7"/>
        <v>60238</v>
      </c>
      <c r="AH33" s="757">
        <v>5122</v>
      </c>
      <c r="AI33" s="757">
        <v>5182</v>
      </c>
      <c r="AJ33" s="757">
        <v>5114</v>
      </c>
      <c r="AK33" s="757">
        <v>5039</v>
      </c>
      <c r="AL33" s="757">
        <v>4937</v>
      </c>
      <c r="AM33" s="757">
        <v>4933</v>
      </c>
      <c r="AN33" s="757">
        <v>5032</v>
      </c>
      <c r="AO33" s="757">
        <v>5083</v>
      </c>
      <c r="AP33" s="757">
        <v>4981</v>
      </c>
      <c r="AQ33" s="757">
        <v>4917</v>
      </c>
      <c r="AR33" s="757">
        <v>4941</v>
      </c>
      <c r="AS33" s="757">
        <v>4957</v>
      </c>
    </row>
    <row r="34" spans="2:45" ht="15.75" thickBot="1" x14ac:dyDescent="0.3">
      <c r="B34" s="177" t="s">
        <v>38</v>
      </c>
      <c r="C34" s="108">
        <v>743</v>
      </c>
      <c r="D34" s="110">
        <v>334</v>
      </c>
      <c r="E34" s="19">
        <v>130</v>
      </c>
      <c r="F34" s="324">
        <f t="shared" si="13"/>
        <v>17.288021534320322</v>
      </c>
      <c r="G34" s="108">
        <v>539</v>
      </c>
      <c r="H34" s="110">
        <v>243</v>
      </c>
      <c r="I34" s="19">
        <v>146</v>
      </c>
      <c r="J34" s="324">
        <f t="shared" si="2"/>
        <v>24.269016697588125</v>
      </c>
      <c r="K34" s="108">
        <f t="shared" si="11"/>
        <v>-204</v>
      </c>
      <c r="L34" s="110">
        <f t="shared" si="3"/>
        <v>-91</v>
      </c>
      <c r="M34" s="19">
        <f t="shared" si="8"/>
        <v>16</v>
      </c>
      <c r="N34" s="326">
        <f t="shared" si="9"/>
        <v>6.9809951632678029</v>
      </c>
      <c r="O34" s="184">
        <f t="shared" si="12"/>
        <v>-27.456258411843876</v>
      </c>
      <c r="P34" s="185">
        <f t="shared" si="4"/>
        <v>-27.245508982035926</v>
      </c>
      <c r="Q34" s="90">
        <f t="shared" si="5"/>
        <v>12.307692307692308</v>
      </c>
      <c r="R34" s="186">
        <f t="shared" si="10"/>
        <v>40.380532552027852</v>
      </c>
      <c r="T34" s="107">
        <f t="shared" si="6"/>
        <v>13081</v>
      </c>
      <c r="U34" s="757">
        <v>1092</v>
      </c>
      <c r="V34" s="757">
        <v>1110</v>
      </c>
      <c r="W34" s="757">
        <v>1048</v>
      </c>
      <c r="X34" s="757">
        <v>1013</v>
      </c>
      <c r="Y34" s="757">
        <v>1010</v>
      </c>
      <c r="Z34" s="757">
        <v>1035</v>
      </c>
      <c r="AA34" s="757">
        <v>1076</v>
      </c>
      <c r="AB34" s="757">
        <v>1104</v>
      </c>
      <c r="AC34" s="757">
        <v>1129</v>
      </c>
      <c r="AD34" s="757">
        <v>1139</v>
      </c>
      <c r="AE34" s="757">
        <v>1158</v>
      </c>
      <c r="AF34" s="757">
        <v>1167</v>
      </c>
      <c r="AG34" s="107">
        <f t="shared" si="7"/>
        <v>12845</v>
      </c>
      <c r="AH34" s="757">
        <v>1159</v>
      </c>
      <c r="AI34" s="757">
        <v>1161</v>
      </c>
      <c r="AJ34" s="757">
        <v>1121</v>
      </c>
      <c r="AK34" s="757">
        <v>1086</v>
      </c>
      <c r="AL34" s="757">
        <v>1043</v>
      </c>
      <c r="AM34" s="757">
        <v>1034</v>
      </c>
      <c r="AN34" s="757">
        <v>1058</v>
      </c>
      <c r="AO34" s="757">
        <v>1087</v>
      </c>
      <c r="AP34" s="757">
        <v>1054</v>
      </c>
      <c r="AQ34" s="757">
        <v>1028</v>
      </c>
      <c r="AR34" s="757">
        <v>1015</v>
      </c>
      <c r="AS34" s="757">
        <v>999</v>
      </c>
    </row>
    <row r="36" spans="2:45" x14ac:dyDescent="0.25">
      <c r="D36" s="287"/>
      <c r="H36" s="287"/>
      <c r="I36" s="287"/>
      <c r="K36" s="284"/>
    </row>
    <row r="37" spans="2:45" x14ac:dyDescent="0.25">
      <c r="G37" s="286"/>
    </row>
  </sheetData>
  <mergeCells count="18">
    <mergeCell ref="L7:M7"/>
    <mergeCell ref="N7:N8"/>
    <mergeCell ref="O7:O8"/>
    <mergeCell ref="C5:I5"/>
    <mergeCell ref="B6:B8"/>
    <mergeCell ref="C6:F6"/>
    <mergeCell ref="K6:N6"/>
    <mergeCell ref="O6:R6"/>
    <mergeCell ref="G7:G8"/>
    <mergeCell ref="H7:I7"/>
    <mergeCell ref="J7:J8"/>
    <mergeCell ref="C7:C8"/>
    <mergeCell ref="P7:Q7"/>
    <mergeCell ref="R7:R8"/>
    <mergeCell ref="G6:J6"/>
    <mergeCell ref="D7:E7"/>
    <mergeCell ref="F7:F8"/>
    <mergeCell ref="K7:K8"/>
  </mergeCells>
  <pageMargins left="0" right="0" top="1.3779527559055118" bottom="0" header="0" footer="0"/>
  <pageSetup paperSize="9" scale="3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59999389629810485"/>
    <pageSetUpPr fitToPage="1"/>
  </sheetPr>
  <dimension ref="B1:N63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" style="77" customWidth="1"/>
    <col min="2" max="2" width="60" style="77" customWidth="1"/>
    <col min="3" max="3" width="10.7109375" style="77" customWidth="1"/>
    <col min="4" max="4" width="11.140625" style="77" customWidth="1"/>
    <col min="5" max="5" width="10.28515625" style="77" customWidth="1"/>
    <col min="6" max="6" width="11.5703125" style="77" customWidth="1"/>
    <col min="7" max="7" width="10.5703125" style="77" customWidth="1"/>
    <col min="8" max="8" width="9.140625" style="77"/>
    <col min="9" max="9" width="61.28515625" style="77" customWidth="1"/>
    <col min="10" max="16384" width="9.140625" style="77"/>
  </cols>
  <sheetData>
    <row r="1" spans="2:14" x14ac:dyDescent="0.25">
      <c r="B1" s="399" t="s">
        <v>471</v>
      </c>
      <c r="C1" s="231"/>
      <c r="D1" s="231"/>
      <c r="E1" s="231"/>
    </row>
    <row r="2" spans="2:14" x14ac:dyDescent="0.25">
      <c r="B2" s="11" t="s">
        <v>472</v>
      </c>
      <c r="C2" s="143"/>
      <c r="D2" s="143"/>
      <c r="E2" s="143"/>
    </row>
    <row r="3" spans="2:14" ht="15.75" thickBot="1" x14ac:dyDescent="0.3">
      <c r="B3" s="11" t="s">
        <v>293</v>
      </c>
      <c r="C3" s="143"/>
      <c r="D3" s="143"/>
      <c r="E3" s="143"/>
    </row>
    <row r="4" spans="2:14" ht="60.75" thickBot="1" x14ac:dyDescent="0.3">
      <c r="B4" s="708" t="s">
        <v>146</v>
      </c>
      <c r="C4" s="710" t="s">
        <v>164</v>
      </c>
      <c r="D4" s="758" t="s">
        <v>527</v>
      </c>
      <c r="E4" s="759" t="s">
        <v>353</v>
      </c>
      <c r="F4" s="709" t="s">
        <v>528</v>
      </c>
      <c r="G4" s="759" t="s">
        <v>353</v>
      </c>
      <c r="I4" s="708" t="s">
        <v>146</v>
      </c>
      <c r="J4" s="710" t="s">
        <v>164</v>
      </c>
      <c r="K4" s="758" t="s">
        <v>527</v>
      </c>
      <c r="L4" s="759" t="s">
        <v>353</v>
      </c>
      <c r="M4" s="709" t="s">
        <v>528</v>
      </c>
      <c r="N4" s="759" t="s">
        <v>353</v>
      </c>
    </row>
    <row r="5" spans="2:14" ht="30" x14ac:dyDescent="0.25">
      <c r="B5" s="760" t="s">
        <v>209</v>
      </c>
      <c r="C5" s="761">
        <v>1</v>
      </c>
      <c r="D5" s="762">
        <f>SUM(D6:D9)</f>
        <v>237</v>
      </c>
      <c r="E5" s="763">
        <f>SUM(D5/D59)*100</f>
        <v>0.62746551587196531</v>
      </c>
      <c r="F5" s="764">
        <f>SUM(F6:F9)</f>
        <v>263</v>
      </c>
      <c r="G5" s="763">
        <f>SUM(F5/F59)*100</f>
        <v>0.86675674784958634</v>
      </c>
      <c r="I5" s="936" t="s">
        <v>209</v>
      </c>
      <c r="J5" s="937">
        <v>1</v>
      </c>
      <c r="K5" s="938">
        <v>237</v>
      </c>
      <c r="L5" s="939">
        <v>0.62746551587196531</v>
      </c>
      <c r="M5" s="940">
        <v>263</v>
      </c>
      <c r="N5" s="939">
        <v>0.86675674784958634</v>
      </c>
    </row>
    <row r="6" spans="2:14" ht="30" x14ac:dyDescent="0.25">
      <c r="B6" s="189" t="s">
        <v>210</v>
      </c>
      <c r="C6" s="500">
        <v>11</v>
      </c>
      <c r="D6" s="190">
        <v>19</v>
      </c>
      <c r="E6" s="206">
        <f>SUM(D6)/D5*100</f>
        <v>8.0168776371308024</v>
      </c>
      <c r="F6" s="190">
        <v>12</v>
      </c>
      <c r="G6" s="206">
        <f>SUM(F6)/F5*100</f>
        <v>4.5627376425855513</v>
      </c>
      <c r="I6" s="941" t="s">
        <v>154</v>
      </c>
      <c r="J6" s="942">
        <v>2</v>
      </c>
      <c r="K6" s="943">
        <v>2902</v>
      </c>
      <c r="L6" s="944">
        <v>7.683143152153769</v>
      </c>
      <c r="M6" s="945">
        <v>2924</v>
      </c>
      <c r="N6" s="944">
        <v>9.6364894703885575</v>
      </c>
    </row>
    <row r="7" spans="2:14" x14ac:dyDescent="0.25">
      <c r="B7" s="189" t="s">
        <v>165</v>
      </c>
      <c r="C7" s="500">
        <v>12</v>
      </c>
      <c r="D7" s="190">
        <v>97</v>
      </c>
      <c r="E7" s="206">
        <f>SUM(D7)/D5*100</f>
        <v>40.928270042194093</v>
      </c>
      <c r="F7" s="190">
        <v>102</v>
      </c>
      <c r="G7" s="206">
        <f>SUM(F7)/F5*100</f>
        <v>38.783269961977183</v>
      </c>
      <c r="I7" s="941" t="s">
        <v>155</v>
      </c>
      <c r="J7" s="942">
        <v>3</v>
      </c>
      <c r="K7" s="943">
        <v>3138</v>
      </c>
      <c r="L7" s="944">
        <v>8.3079611342034898</v>
      </c>
      <c r="M7" s="945">
        <v>2406</v>
      </c>
      <c r="N7" s="944">
        <v>7.929341198958574</v>
      </c>
    </row>
    <row r="8" spans="2:14" x14ac:dyDescent="0.25">
      <c r="B8" s="189" t="s">
        <v>166</v>
      </c>
      <c r="C8" s="500">
        <v>13</v>
      </c>
      <c r="D8" s="190">
        <v>71</v>
      </c>
      <c r="E8" s="206">
        <f>SUM(D8)/D5*100</f>
        <v>29.957805907172997</v>
      </c>
      <c r="F8" s="190">
        <v>111</v>
      </c>
      <c r="G8" s="206">
        <f>SUM(F8)/F5*100</f>
        <v>42.20532319391635</v>
      </c>
      <c r="I8" s="941" t="s">
        <v>156</v>
      </c>
      <c r="J8" s="942">
        <v>4</v>
      </c>
      <c r="K8" s="943">
        <v>4495</v>
      </c>
      <c r="L8" s="944">
        <v>11.900664530989383</v>
      </c>
      <c r="M8" s="945">
        <v>4076</v>
      </c>
      <c r="N8" s="944">
        <v>13.433081765151764</v>
      </c>
    </row>
    <row r="9" spans="2:14" ht="30" x14ac:dyDescent="0.25">
      <c r="B9" s="189" t="s">
        <v>167</v>
      </c>
      <c r="C9" s="500">
        <v>14</v>
      </c>
      <c r="D9" s="190">
        <v>50</v>
      </c>
      <c r="E9" s="207">
        <f>SUM(D9)/D5*100</f>
        <v>21.09704641350211</v>
      </c>
      <c r="F9" s="190">
        <v>38</v>
      </c>
      <c r="G9" s="207">
        <f>SUM(F9)/F5*100</f>
        <v>14.448669201520911</v>
      </c>
      <c r="I9" s="941" t="s">
        <v>157</v>
      </c>
      <c r="J9" s="942">
        <v>5</v>
      </c>
      <c r="K9" s="943">
        <v>6886</v>
      </c>
      <c r="L9" s="944">
        <v>18.230917899976173</v>
      </c>
      <c r="M9" s="945">
        <v>6048</v>
      </c>
      <c r="N9" s="944">
        <v>19.932109547506837</v>
      </c>
    </row>
    <row r="10" spans="2:14" x14ac:dyDescent="0.25">
      <c r="B10" s="765" t="s">
        <v>154</v>
      </c>
      <c r="C10" s="766">
        <v>2</v>
      </c>
      <c r="D10" s="767">
        <f>SUM(D11:D16)</f>
        <v>2902</v>
      </c>
      <c r="E10" s="768">
        <f>SUM(D10/D59)*100</f>
        <v>7.683143152153769</v>
      </c>
      <c r="F10" s="769">
        <f>SUM(F11:F16)</f>
        <v>2924</v>
      </c>
      <c r="G10" s="768">
        <f>SUM(F10/F59)*100</f>
        <v>9.6364894703885575</v>
      </c>
      <c r="I10" s="941" t="s">
        <v>158</v>
      </c>
      <c r="J10" s="942">
        <v>6</v>
      </c>
      <c r="K10" s="943">
        <v>202</v>
      </c>
      <c r="L10" s="944">
        <v>0.53480183209340493</v>
      </c>
      <c r="M10" s="945">
        <v>171</v>
      </c>
      <c r="N10" s="944">
        <v>0.56355666875391353</v>
      </c>
    </row>
    <row r="11" spans="2:14" x14ac:dyDescent="0.25">
      <c r="B11" s="189" t="s">
        <v>170</v>
      </c>
      <c r="C11" s="500">
        <v>21</v>
      </c>
      <c r="D11" s="131">
        <v>496</v>
      </c>
      <c r="E11" s="206">
        <f>SUM(D11)/D10*100</f>
        <v>17.091660923501035</v>
      </c>
      <c r="F11" s="131">
        <v>473</v>
      </c>
      <c r="G11" s="206">
        <f>SUM(F11)/F10*100</f>
        <v>16.176470588235293</v>
      </c>
      <c r="I11" s="941" t="s">
        <v>159</v>
      </c>
      <c r="J11" s="942">
        <v>7</v>
      </c>
      <c r="K11" s="943">
        <v>9536</v>
      </c>
      <c r="L11" s="944">
        <v>25.24688252892431</v>
      </c>
      <c r="M11" s="945">
        <v>7807</v>
      </c>
      <c r="N11" s="944">
        <v>25.729163233694756</v>
      </c>
    </row>
    <row r="12" spans="2:14" x14ac:dyDescent="0.25">
      <c r="B12" s="189" t="s">
        <v>171</v>
      </c>
      <c r="C12" s="500">
        <v>22</v>
      </c>
      <c r="D12" s="190">
        <v>472</v>
      </c>
      <c r="E12" s="206">
        <f>SUM(D12)/D10*100</f>
        <v>16.264645072363887</v>
      </c>
      <c r="F12" s="190">
        <v>620</v>
      </c>
      <c r="G12" s="206">
        <f>SUM(F12)/F10*100</f>
        <v>21.203830369357046</v>
      </c>
      <c r="I12" s="941" t="s">
        <v>160</v>
      </c>
      <c r="J12" s="942">
        <v>8</v>
      </c>
      <c r="K12" s="943">
        <v>4689</v>
      </c>
      <c r="L12" s="944">
        <v>12.414286092504833</v>
      </c>
      <c r="M12" s="945">
        <v>2821</v>
      </c>
      <c r="N12" s="944">
        <v>9.2970372079227488</v>
      </c>
    </row>
    <row r="13" spans="2:14" x14ac:dyDescent="0.25">
      <c r="B13" s="189" t="s">
        <v>172</v>
      </c>
      <c r="C13" s="500">
        <v>23</v>
      </c>
      <c r="D13" s="131">
        <v>967</v>
      </c>
      <c r="E13" s="206">
        <f>SUM(D13)/D10*100</f>
        <v>33.321847002067543</v>
      </c>
      <c r="F13" s="131">
        <v>823</v>
      </c>
      <c r="G13" s="206">
        <f>SUM(F13)/F10*100</f>
        <v>28.14637482900137</v>
      </c>
      <c r="I13" s="941" t="s">
        <v>161</v>
      </c>
      <c r="J13" s="942">
        <v>9</v>
      </c>
      <c r="K13" s="943">
        <v>5686</v>
      </c>
      <c r="L13" s="944">
        <v>15.053877313282676</v>
      </c>
      <c r="M13" s="945">
        <v>3827</v>
      </c>
      <c r="N13" s="944">
        <v>12.612464159773259</v>
      </c>
    </row>
    <row r="14" spans="2:14" ht="15.75" thickBot="1" x14ac:dyDescent="0.3">
      <c r="B14" s="189" t="s">
        <v>173</v>
      </c>
      <c r="C14" s="500">
        <v>24</v>
      </c>
      <c r="D14" s="131">
        <v>616</v>
      </c>
      <c r="E14" s="206">
        <f>SUM(D14)/D10*100</f>
        <v>21.226740179186766</v>
      </c>
      <c r="F14" s="131">
        <v>626</v>
      </c>
      <c r="G14" s="206">
        <f>SUM(F14)/F10*100</f>
        <v>21.409028727770178</v>
      </c>
      <c r="I14" s="941" t="s">
        <v>168</v>
      </c>
      <c r="J14" s="942">
        <v>0</v>
      </c>
      <c r="K14" s="946">
        <v>0</v>
      </c>
      <c r="L14" s="944">
        <v>0</v>
      </c>
      <c r="M14" s="947">
        <v>0</v>
      </c>
      <c r="N14" s="944">
        <v>0</v>
      </c>
    </row>
    <row r="15" spans="2:14" x14ac:dyDescent="0.25">
      <c r="B15" s="189" t="s">
        <v>174</v>
      </c>
      <c r="C15" s="500">
        <v>25</v>
      </c>
      <c r="D15" s="190">
        <v>46</v>
      </c>
      <c r="E15" s="206">
        <f>SUM(D15)/D10*100</f>
        <v>1.5851137146795313</v>
      </c>
      <c r="F15" s="190">
        <v>49</v>
      </c>
      <c r="G15" s="206">
        <f>SUM(F15)/F10*100</f>
        <v>1.6757865937072502</v>
      </c>
      <c r="I15" s="948" t="s">
        <v>212</v>
      </c>
      <c r="J15" s="949" t="s">
        <v>147</v>
      </c>
      <c r="K15" s="950">
        <v>0</v>
      </c>
      <c r="L15" s="333">
        <v>0</v>
      </c>
      <c r="M15" s="217">
        <v>0</v>
      </c>
      <c r="N15" s="333">
        <v>0</v>
      </c>
    </row>
    <row r="16" spans="2:14" ht="15.75" thickBot="1" x14ac:dyDescent="0.3">
      <c r="B16" s="189" t="s">
        <v>175</v>
      </c>
      <c r="C16" s="500">
        <v>26</v>
      </c>
      <c r="D16" s="131">
        <v>305</v>
      </c>
      <c r="E16" s="206">
        <f>SUM(D16)/D10*100</f>
        <v>10.50999310820124</v>
      </c>
      <c r="F16" s="131">
        <v>333</v>
      </c>
      <c r="G16" s="206">
        <f>SUM(F16)/F10*100</f>
        <v>11.388508891928865</v>
      </c>
      <c r="I16" s="951" t="s">
        <v>213</v>
      </c>
      <c r="J16" s="952" t="s">
        <v>148</v>
      </c>
      <c r="K16" s="953">
        <v>37771</v>
      </c>
      <c r="L16" s="207">
        <v>100.00000000000003</v>
      </c>
      <c r="M16" s="954">
        <v>30343</v>
      </c>
      <c r="N16" s="207">
        <v>100</v>
      </c>
    </row>
    <row r="17" spans="2:14" ht="15.75" thickBot="1" x14ac:dyDescent="0.3">
      <c r="B17" s="765" t="s">
        <v>155</v>
      </c>
      <c r="C17" s="766">
        <v>3</v>
      </c>
      <c r="D17" s="767">
        <f>SUM(D18:D22)</f>
        <v>3138</v>
      </c>
      <c r="E17" s="768">
        <f>SUM(D17)/D59*100</f>
        <v>8.3079611342034898</v>
      </c>
      <c r="F17" s="769">
        <f>SUM(F18:F22)</f>
        <v>2406</v>
      </c>
      <c r="G17" s="768">
        <f>SUM(F17)/F59*100</f>
        <v>7.929341198958574</v>
      </c>
      <c r="I17" s="932" t="s">
        <v>49</v>
      </c>
      <c r="J17" s="933" t="s">
        <v>149</v>
      </c>
      <c r="K17" s="934">
        <v>37771</v>
      </c>
      <c r="L17" s="933" t="s">
        <v>91</v>
      </c>
      <c r="M17" s="935">
        <v>30343</v>
      </c>
      <c r="N17" s="933" t="s">
        <v>91</v>
      </c>
    </row>
    <row r="18" spans="2:14" x14ac:dyDescent="0.25">
      <c r="B18" s="189" t="s">
        <v>176</v>
      </c>
      <c r="C18" s="500">
        <v>31</v>
      </c>
      <c r="D18" s="131">
        <v>739</v>
      </c>
      <c r="E18" s="206">
        <f>SUM(D18)/D17*100</f>
        <v>23.550031867431485</v>
      </c>
      <c r="F18" s="131">
        <v>500</v>
      </c>
      <c r="G18" s="206">
        <f>SUM(F18)/F17*100</f>
        <v>20.781379883624275</v>
      </c>
      <c r="I18" s="11" t="s">
        <v>358</v>
      </c>
      <c r="J18" s="11"/>
      <c r="K18" s="11"/>
      <c r="L18" s="11"/>
    </row>
    <row r="19" spans="2:14" x14ac:dyDescent="0.25">
      <c r="B19" s="189" t="s">
        <v>177</v>
      </c>
      <c r="C19" s="500">
        <v>32</v>
      </c>
      <c r="D19" s="131">
        <v>651</v>
      </c>
      <c r="E19" s="206">
        <f>SUM(D19)/D17*100</f>
        <v>20.745697896749522</v>
      </c>
      <c r="F19" s="131">
        <v>396</v>
      </c>
      <c r="G19" s="206">
        <f>SUM(F19)/F17*100</f>
        <v>16.458852867830423</v>
      </c>
      <c r="I19" s="11" t="s">
        <v>355</v>
      </c>
      <c r="J19" s="11"/>
      <c r="K19" s="11"/>
      <c r="L19" s="11"/>
    </row>
    <row r="20" spans="2:14" x14ac:dyDescent="0.25">
      <c r="B20" s="189" t="s">
        <v>178</v>
      </c>
      <c r="C20" s="500">
        <v>33</v>
      </c>
      <c r="D20" s="131">
        <v>1061</v>
      </c>
      <c r="E20" s="206">
        <f>SUM(D20)/D17*100</f>
        <v>33.81134480560867</v>
      </c>
      <c r="F20" s="131">
        <v>934</v>
      </c>
      <c r="G20" s="206">
        <f>SUM(F20)/F17*100</f>
        <v>38.819617622610139</v>
      </c>
      <c r="I20" s="11" t="s">
        <v>359</v>
      </c>
      <c r="J20" s="11"/>
      <c r="K20" s="11"/>
      <c r="L20" s="11"/>
    </row>
    <row r="21" spans="2:14" ht="30" x14ac:dyDescent="0.25">
      <c r="B21" s="189" t="s">
        <v>179</v>
      </c>
      <c r="C21" s="500">
        <v>34</v>
      </c>
      <c r="D21" s="131">
        <v>632</v>
      </c>
      <c r="E21" s="206">
        <f>SUM(D21)/D17*100</f>
        <v>20.140216698534097</v>
      </c>
      <c r="F21" s="131">
        <v>528</v>
      </c>
      <c r="G21" s="206">
        <f>SUM(F21)/F17*100</f>
        <v>21.945137157107229</v>
      </c>
    </row>
    <row r="22" spans="2:14" x14ac:dyDescent="0.25">
      <c r="B22" s="189" t="s">
        <v>180</v>
      </c>
      <c r="C22" s="500">
        <v>35</v>
      </c>
      <c r="D22" s="190">
        <v>55</v>
      </c>
      <c r="E22" s="206">
        <f>SUM(D22)/D17*100</f>
        <v>1.7527087316762269</v>
      </c>
      <c r="F22" s="190">
        <v>48</v>
      </c>
      <c r="G22" s="206">
        <f>SUM(F22)/F17*100</f>
        <v>1.99501246882793</v>
      </c>
    </row>
    <row r="23" spans="2:14" x14ac:dyDescent="0.25">
      <c r="B23" s="765" t="s">
        <v>156</v>
      </c>
      <c r="C23" s="766">
        <v>4</v>
      </c>
      <c r="D23" s="767">
        <f>SUM(D24:D27)</f>
        <v>4495</v>
      </c>
      <c r="E23" s="768">
        <f>SUM(D23)/D59*100</f>
        <v>11.900664530989383</v>
      </c>
      <c r="F23" s="769">
        <f>SUM(F24:F27)</f>
        <v>4076</v>
      </c>
      <c r="G23" s="768">
        <f>SUM(F23)/F59*100</f>
        <v>13.433081765151764</v>
      </c>
    </row>
    <row r="24" spans="2:14" x14ac:dyDescent="0.25">
      <c r="B24" s="189" t="s">
        <v>181</v>
      </c>
      <c r="C24" s="500">
        <v>41</v>
      </c>
      <c r="D24" s="131">
        <v>2317</v>
      </c>
      <c r="E24" s="206">
        <f>SUM(D24)/D23*100</f>
        <v>51.546162402669637</v>
      </c>
      <c r="F24" s="131">
        <v>2303</v>
      </c>
      <c r="G24" s="206">
        <f>SUM(F24)/F23*100</f>
        <v>56.501472031403331</v>
      </c>
    </row>
    <row r="25" spans="2:14" x14ac:dyDescent="0.25">
      <c r="B25" s="189" t="s">
        <v>182</v>
      </c>
      <c r="C25" s="500">
        <v>42</v>
      </c>
      <c r="D25" s="190">
        <v>258</v>
      </c>
      <c r="E25" s="206">
        <f>SUM(D25)/D23*100</f>
        <v>5.7397107897664075</v>
      </c>
      <c r="F25" s="190">
        <v>322</v>
      </c>
      <c r="G25" s="206">
        <f>SUM(F25)/F23*100</f>
        <v>7.8999018645731116</v>
      </c>
    </row>
    <row r="26" spans="2:14" ht="30" x14ac:dyDescent="0.25">
      <c r="B26" s="189" t="s">
        <v>183</v>
      </c>
      <c r="C26" s="500">
        <v>43</v>
      </c>
      <c r="D26" s="131">
        <v>1731</v>
      </c>
      <c r="E26" s="206">
        <f>SUM(D26)/D23*100</f>
        <v>38.509454949944384</v>
      </c>
      <c r="F26" s="131">
        <v>1287</v>
      </c>
      <c r="G26" s="206">
        <f>SUM(F26)/F23*100</f>
        <v>31.575073601570168</v>
      </c>
    </row>
    <row r="27" spans="2:14" x14ac:dyDescent="0.25">
      <c r="B27" s="189" t="s">
        <v>184</v>
      </c>
      <c r="C27" s="500">
        <v>44</v>
      </c>
      <c r="D27" s="190">
        <v>189</v>
      </c>
      <c r="E27" s="206">
        <f>SUM(D27)/D23*100</f>
        <v>4.2046718576195774</v>
      </c>
      <c r="F27" s="190">
        <v>164</v>
      </c>
      <c r="G27" s="206">
        <f>SUM(F27)/F23*100</f>
        <v>4.0235525024533851</v>
      </c>
    </row>
    <row r="28" spans="2:14" x14ac:dyDescent="0.25">
      <c r="B28" s="765" t="s">
        <v>157</v>
      </c>
      <c r="C28" s="766">
        <v>5</v>
      </c>
      <c r="D28" s="767">
        <f>SUM(D29:D32)</f>
        <v>6886</v>
      </c>
      <c r="E28" s="768">
        <f>SUM(D28)/D59*100</f>
        <v>18.230917899976173</v>
      </c>
      <c r="F28" s="769">
        <f>SUM(F29:F32)</f>
        <v>6048</v>
      </c>
      <c r="G28" s="768">
        <f>SUM(F28)/F59*100</f>
        <v>19.932109547506837</v>
      </c>
    </row>
    <row r="29" spans="2:14" x14ac:dyDescent="0.25">
      <c r="B29" s="189" t="s">
        <v>185</v>
      </c>
      <c r="C29" s="500">
        <v>51</v>
      </c>
      <c r="D29" s="131">
        <v>2849</v>
      </c>
      <c r="E29" s="206">
        <f>SUM(D29)/D28*100</f>
        <v>41.373801916932905</v>
      </c>
      <c r="F29" s="131">
        <v>2643</v>
      </c>
      <c r="G29" s="206">
        <f>SUM(F29)/F28*100</f>
        <v>43.700396825396822</v>
      </c>
    </row>
    <row r="30" spans="2:14" x14ac:dyDescent="0.25">
      <c r="B30" s="189" t="s">
        <v>186</v>
      </c>
      <c r="C30" s="500">
        <v>52</v>
      </c>
      <c r="D30" s="131">
        <v>3004</v>
      </c>
      <c r="E30" s="206">
        <f>SUM(D30)/D28*100</f>
        <v>43.624745861167582</v>
      </c>
      <c r="F30" s="131">
        <v>2444</v>
      </c>
      <c r="G30" s="206">
        <f>SUM(F30)/F28*100</f>
        <v>40.410052910052912</v>
      </c>
    </row>
    <row r="31" spans="2:14" x14ac:dyDescent="0.25">
      <c r="B31" s="189" t="s">
        <v>187</v>
      </c>
      <c r="C31" s="500">
        <v>53</v>
      </c>
      <c r="D31" s="190">
        <v>768</v>
      </c>
      <c r="E31" s="206">
        <f>SUM(D31)/D28*100</f>
        <v>11.153064188207958</v>
      </c>
      <c r="F31" s="190">
        <v>624</v>
      </c>
      <c r="G31" s="206">
        <f>SUM(F31)/F28*100</f>
        <v>10.317460317460316</v>
      </c>
    </row>
    <row r="32" spans="2:14" x14ac:dyDescent="0.25">
      <c r="B32" s="189" t="s">
        <v>188</v>
      </c>
      <c r="C32" s="500">
        <v>54</v>
      </c>
      <c r="D32" s="190">
        <v>265</v>
      </c>
      <c r="E32" s="206">
        <f>SUM(D32)/D28*100</f>
        <v>3.8483880336915481</v>
      </c>
      <c r="F32" s="190">
        <v>337</v>
      </c>
      <c r="G32" s="206">
        <f>SUM(F32)/F28*100</f>
        <v>5.572089947089947</v>
      </c>
    </row>
    <row r="33" spans="2:7" x14ac:dyDescent="0.25">
      <c r="B33" s="765" t="s">
        <v>158</v>
      </c>
      <c r="C33" s="766">
        <v>6</v>
      </c>
      <c r="D33" s="767">
        <f>SUM(D34:D36)</f>
        <v>202</v>
      </c>
      <c r="E33" s="768">
        <f>SUM(D33)/D59*100</f>
        <v>0.53480183209340493</v>
      </c>
      <c r="F33" s="769">
        <f>SUM(F34:F36)</f>
        <v>171</v>
      </c>
      <c r="G33" s="768">
        <f>SUM(F33)/F59*100</f>
        <v>0.56355666875391353</v>
      </c>
    </row>
    <row r="34" spans="2:7" x14ac:dyDescent="0.25">
      <c r="B34" s="189" t="s">
        <v>189</v>
      </c>
      <c r="C34" s="500">
        <v>61</v>
      </c>
      <c r="D34" s="131">
        <v>114</v>
      </c>
      <c r="E34" s="206">
        <f>SUM(D34)/D33*100</f>
        <v>56.435643564356432</v>
      </c>
      <c r="F34" s="131">
        <v>135</v>
      </c>
      <c r="G34" s="206">
        <f>SUM(F34)/F33*100</f>
        <v>78.94736842105263</v>
      </c>
    </row>
    <row r="35" spans="2:7" x14ac:dyDescent="0.25">
      <c r="B35" s="189" t="s">
        <v>190</v>
      </c>
      <c r="C35" s="500">
        <v>62</v>
      </c>
      <c r="D35" s="190">
        <v>88</v>
      </c>
      <c r="E35" s="206">
        <f>SUM(D35)/D33*100</f>
        <v>43.564356435643568</v>
      </c>
      <c r="F35" s="190">
        <v>36</v>
      </c>
      <c r="G35" s="206">
        <f>SUM(F35)/F33*100</f>
        <v>21.052631578947366</v>
      </c>
    </row>
    <row r="36" spans="2:7" x14ac:dyDescent="0.25">
      <c r="B36" s="189" t="s">
        <v>191</v>
      </c>
      <c r="C36" s="500">
        <v>63</v>
      </c>
      <c r="D36" s="190">
        <v>0</v>
      </c>
      <c r="E36" s="206">
        <f>SUM(D36)/D33*100</f>
        <v>0</v>
      </c>
      <c r="F36" s="190">
        <v>0</v>
      </c>
      <c r="G36" s="206">
        <f>SUM(F36)/F33*100</f>
        <v>0</v>
      </c>
    </row>
    <row r="37" spans="2:7" x14ac:dyDescent="0.25">
      <c r="B37" s="765" t="s">
        <v>159</v>
      </c>
      <c r="C37" s="766">
        <v>7</v>
      </c>
      <c r="D37" s="767">
        <f>SUM(D38:D42)</f>
        <v>9536</v>
      </c>
      <c r="E37" s="768">
        <f>SUM(D37)/D59*100</f>
        <v>25.24688252892431</v>
      </c>
      <c r="F37" s="769">
        <f>SUM(F38:F42)</f>
        <v>7807</v>
      </c>
      <c r="G37" s="768">
        <f>SUM(F37)/F59*100</f>
        <v>25.729163233694756</v>
      </c>
    </row>
    <row r="38" spans="2:7" x14ac:dyDescent="0.25">
      <c r="B38" s="189" t="s">
        <v>192</v>
      </c>
      <c r="C38" s="500">
        <v>71</v>
      </c>
      <c r="D38" s="131">
        <v>3457</v>
      </c>
      <c r="E38" s="206">
        <f>SUM(D38)/D37*100</f>
        <v>36.252097315436245</v>
      </c>
      <c r="F38" s="131">
        <v>2831</v>
      </c>
      <c r="G38" s="206">
        <f>SUM(F38)/F37*100</f>
        <v>36.262328679390293</v>
      </c>
    </row>
    <row r="39" spans="2:7" x14ac:dyDescent="0.25">
      <c r="B39" s="189" t="s">
        <v>193</v>
      </c>
      <c r="C39" s="500">
        <v>72</v>
      </c>
      <c r="D39" s="131">
        <v>2941</v>
      </c>
      <c r="E39" s="206">
        <f>SUM(D39)/D37*100</f>
        <v>30.841023489932883</v>
      </c>
      <c r="F39" s="131">
        <v>2481</v>
      </c>
      <c r="G39" s="206">
        <f>SUM(F39)/F37*100</f>
        <v>31.779172537466376</v>
      </c>
    </row>
    <row r="40" spans="2:7" x14ac:dyDescent="0.25">
      <c r="B40" s="189" t="s">
        <v>194</v>
      </c>
      <c r="C40" s="500">
        <v>73</v>
      </c>
      <c r="D40" s="131">
        <v>117</v>
      </c>
      <c r="E40" s="206">
        <f>SUM(D40)/D37*100</f>
        <v>1.2269295302013423</v>
      </c>
      <c r="F40" s="131">
        <v>103</v>
      </c>
      <c r="G40" s="206">
        <f>SUM(F40)/F37*100</f>
        <v>1.3193288074804661</v>
      </c>
    </row>
    <row r="41" spans="2:7" x14ac:dyDescent="0.25">
      <c r="B41" s="189" t="s">
        <v>195</v>
      </c>
      <c r="C41" s="500">
        <v>74</v>
      </c>
      <c r="D41" s="131">
        <v>968</v>
      </c>
      <c r="E41" s="206">
        <f>SUM(D41)/D37*100</f>
        <v>10.151006711409396</v>
      </c>
      <c r="F41" s="131">
        <v>651</v>
      </c>
      <c r="G41" s="206">
        <f>SUM(F41)/F37*100</f>
        <v>8.3386704239784812</v>
      </c>
    </row>
    <row r="42" spans="2:7" ht="30" x14ac:dyDescent="0.25">
      <c r="B42" s="189" t="s">
        <v>196</v>
      </c>
      <c r="C42" s="500">
        <v>75</v>
      </c>
      <c r="D42" s="131">
        <v>2053</v>
      </c>
      <c r="E42" s="206">
        <f>SUM(D42)/D37*100</f>
        <v>21.528942953020135</v>
      </c>
      <c r="F42" s="131">
        <v>1741</v>
      </c>
      <c r="G42" s="206">
        <f>SUM(F42)/F37*100</f>
        <v>22.300499551684386</v>
      </c>
    </row>
    <row r="43" spans="2:7" x14ac:dyDescent="0.25">
      <c r="B43" s="765" t="s">
        <v>160</v>
      </c>
      <c r="C43" s="766">
        <v>8</v>
      </c>
      <c r="D43" s="767">
        <f>SUM(D44:D46)</f>
        <v>4689</v>
      </c>
      <c r="E43" s="768">
        <f>SUM(D43)/D59*100</f>
        <v>12.414286092504833</v>
      </c>
      <c r="F43" s="769">
        <f>SUM(F44:F46)</f>
        <v>2821</v>
      </c>
      <c r="G43" s="768">
        <f>SUM(F43)/F59*100</f>
        <v>9.2970372079227488</v>
      </c>
    </row>
    <row r="44" spans="2:7" x14ac:dyDescent="0.25">
      <c r="B44" s="189" t="s">
        <v>197</v>
      </c>
      <c r="C44" s="500">
        <v>81</v>
      </c>
      <c r="D44" s="131">
        <v>2360</v>
      </c>
      <c r="E44" s="206">
        <f>SUM(D44)/D43*100</f>
        <v>50.33056088718277</v>
      </c>
      <c r="F44" s="131">
        <v>1013</v>
      </c>
      <c r="G44" s="206">
        <f>SUM(F44)/F43*100</f>
        <v>35.909252038284293</v>
      </c>
    </row>
    <row r="45" spans="2:7" x14ac:dyDescent="0.25">
      <c r="B45" s="189" t="s">
        <v>198</v>
      </c>
      <c r="C45" s="500">
        <v>82</v>
      </c>
      <c r="D45" s="190">
        <v>674</v>
      </c>
      <c r="E45" s="206">
        <f>SUM(D45)/D43*100</f>
        <v>14.374066965237791</v>
      </c>
      <c r="F45" s="190">
        <v>437</v>
      </c>
      <c r="G45" s="206">
        <f>SUM(F45)/F43*100</f>
        <v>15.490960652250973</v>
      </c>
    </row>
    <row r="46" spans="2:7" x14ac:dyDescent="0.25">
      <c r="B46" s="189" t="s">
        <v>199</v>
      </c>
      <c r="C46" s="500">
        <v>83</v>
      </c>
      <c r="D46" s="131">
        <v>1655</v>
      </c>
      <c r="E46" s="206">
        <f>SUM(D46)/D43*100</f>
        <v>35.295372147579442</v>
      </c>
      <c r="F46" s="131">
        <v>1371</v>
      </c>
      <c r="G46" s="206">
        <f>SUM(F46)/F43*100</f>
        <v>48.59978730946473</v>
      </c>
    </row>
    <row r="47" spans="2:7" x14ac:dyDescent="0.25">
      <c r="B47" s="765" t="s">
        <v>161</v>
      </c>
      <c r="C47" s="766">
        <v>9</v>
      </c>
      <c r="D47" s="767">
        <f>SUM(D48:D53)</f>
        <v>5686</v>
      </c>
      <c r="E47" s="768">
        <f>SUM(D47)/D59*100</f>
        <v>15.053877313282676</v>
      </c>
      <c r="F47" s="769">
        <f>SUM(F48:F53)</f>
        <v>3827</v>
      </c>
      <c r="G47" s="768">
        <f>SUM(F47)/F59*100</f>
        <v>12.612464159773259</v>
      </c>
    </row>
    <row r="48" spans="2:7" x14ac:dyDescent="0.25">
      <c r="B48" s="189" t="s">
        <v>200</v>
      </c>
      <c r="C48" s="500">
        <v>91</v>
      </c>
      <c r="D48" s="131">
        <v>1140</v>
      </c>
      <c r="E48" s="206">
        <f>SUM(D48)/D47*100</f>
        <v>20.049243756595146</v>
      </c>
      <c r="F48" s="131">
        <v>1003</v>
      </c>
      <c r="G48" s="206">
        <f>SUM(F48)/F47*100</f>
        <v>26.208518421740269</v>
      </c>
    </row>
    <row r="49" spans="2:7" ht="30" x14ac:dyDescent="0.25">
      <c r="B49" s="189" t="s">
        <v>201</v>
      </c>
      <c r="C49" s="500">
        <v>92</v>
      </c>
      <c r="D49" s="190">
        <v>189</v>
      </c>
      <c r="E49" s="206">
        <f>SUM(D49)/D47*100</f>
        <v>3.3239535701723533</v>
      </c>
      <c r="F49" s="190">
        <v>80</v>
      </c>
      <c r="G49" s="206">
        <f>SUM(F49)/F47*100</f>
        <v>2.0904102430101905</v>
      </c>
    </row>
    <row r="50" spans="2:7" ht="30" x14ac:dyDescent="0.25">
      <c r="B50" s="189" t="s">
        <v>202</v>
      </c>
      <c r="C50" s="500">
        <v>93</v>
      </c>
      <c r="D50" s="131">
        <v>2433</v>
      </c>
      <c r="E50" s="206">
        <f>SUM(D50)/D47*100</f>
        <v>42.789307069996482</v>
      </c>
      <c r="F50" s="131">
        <v>1402</v>
      </c>
      <c r="G50" s="206">
        <f>SUM(F50)/F47*100</f>
        <v>36.634439508753594</v>
      </c>
    </row>
    <row r="51" spans="2:7" ht="30" x14ac:dyDescent="0.25">
      <c r="B51" s="189" t="s">
        <v>203</v>
      </c>
      <c r="C51" s="500">
        <v>94</v>
      </c>
      <c r="D51" s="190">
        <v>1118</v>
      </c>
      <c r="E51" s="206">
        <f>SUM(D51)/D47*100</f>
        <v>19.662328526204714</v>
      </c>
      <c r="F51" s="190">
        <v>733</v>
      </c>
      <c r="G51" s="206">
        <f>SUM(F51)/F47*100</f>
        <v>19.153383851580873</v>
      </c>
    </row>
    <row r="52" spans="2:7" x14ac:dyDescent="0.25">
      <c r="B52" s="189" t="s">
        <v>204</v>
      </c>
      <c r="C52" s="500">
        <v>95</v>
      </c>
      <c r="D52" s="190">
        <v>1</v>
      </c>
      <c r="E52" s="206">
        <f>SUM(D52)/D47*100</f>
        <v>1.7587055926837847E-2</v>
      </c>
      <c r="F52" s="190">
        <v>2</v>
      </c>
      <c r="G52" s="206">
        <f>SUM(F52)/F47*100</f>
        <v>5.2260256075254766E-2</v>
      </c>
    </row>
    <row r="53" spans="2:7" x14ac:dyDescent="0.25">
      <c r="B53" s="189" t="s">
        <v>205</v>
      </c>
      <c r="C53" s="500">
        <v>96</v>
      </c>
      <c r="D53" s="131">
        <v>805</v>
      </c>
      <c r="E53" s="206">
        <f>SUM(D53)/D47*100</f>
        <v>14.157580021104469</v>
      </c>
      <c r="F53" s="131">
        <v>607</v>
      </c>
      <c r="G53" s="206">
        <f>SUM(F53)/F47*100</f>
        <v>15.860987718839823</v>
      </c>
    </row>
    <row r="54" spans="2:7" x14ac:dyDescent="0.25">
      <c r="B54" s="765" t="s">
        <v>168</v>
      </c>
      <c r="C54" s="766">
        <v>0</v>
      </c>
      <c r="D54" s="770">
        <f>SUM(D55:D57)</f>
        <v>0</v>
      </c>
      <c r="E54" s="768">
        <f>SUM(D54)/D59*100</f>
        <v>0</v>
      </c>
      <c r="F54" s="771">
        <f>SUM(F55:F57)</f>
        <v>0</v>
      </c>
      <c r="G54" s="768">
        <f>SUM(F54)/F59*100</f>
        <v>0</v>
      </c>
    </row>
    <row r="55" spans="2:7" x14ac:dyDescent="0.25">
      <c r="B55" s="189" t="s">
        <v>206</v>
      </c>
      <c r="C55" s="500">
        <v>1</v>
      </c>
      <c r="D55" s="190">
        <v>0</v>
      </c>
      <c r="E55" s="281" t="s">
        <v>91</v>
      </c>
      <c r="F55" s="190">
        <v>0</v>
      </c>
      <c r="G55" s="281" t="s">
        <v>91</v>
      </c>
    </row>
    <row r="56" spans="2:7" x14ac:dyDescent="0.25">
      <c r="B56" s="189" t="s">
        <v>207</v>
      </c>
      <c r="C56" s="500">
        <v>2</v>
      </c>
      <c r="D56" s="190">
        <v>0</v>
      </c>
      <c r="E56" s="281" t="s">
        <v>91</v>
      </c>
      <c r="F56" s="190">
        <v>0</v>
      </c>
      <c r="G56" s="281" t="s">
        <v>91</v>
      </c>
    </row>
    <row r="57" spans="2:7" ht="15.75" thickBot="1" x14ac:dyDescent="0.3">
      <c r="B57" s="191" t="s">
        <v>208</v>
      </c>
      <c r="C57" s="501">
        <v>3</v>
      </c>
      <c r="D57" s="187">
        <v>0</v>
      </c>
      <c r="E57" s="282" t="s">
        <v>91</v>
      </c>
      <c r="F57" s="187">
        <v>0</v>
      </c>
      <c r="G57" s="282" t="s">
        <v>91</v>
      </c>
    </row>
    <row r="58" spans="2:7" x14ac:dyDescent="0.25">
      <c r="B58" s="211" t="s">
        <v>212</v>
      </c>
      <c r="C58" s="502" t="s">
        <v>147</v>
      </c>
      <c r="D58" s="498">
        <v>0</v>
      </c>
      <c r="E58" s="219">
        <f>SUM(D58)/D60*100</f>
        <v>0</v>
      </c>
      <c r="F58" s="213">
        <v>0</v>
      </c>
      <c r="G58" s="219">
        <f>SUM(F58)/F60*100</f>
        <v>0</v>
      </c>
    </row>
    <row r="59" spans="2:7" ht="15.75" thickBot="1" x14ac:dyDescent="0.3">
      <c r="B59" s="214" t="s">
        <v>213</v>
      </c>
      <c r="C59" s="503" t="s">
        <v>148</v>
      </c>
      <c r="D59" s="499">
        <f>SUM(D5,D10,D17,D23,D28,D33,D37,D43,D47,D54)</f>
        <v>37771</v>
      </c>
      <c r="E59" s="222">
        <f>SUM(E5,E10,E17,E23,E28,E33,E37,E43,E47,E54)</f>
        <v>100.00000000000003</v>
      </c>
      <c r="F59" s="216">
        <f>SUM(F5,F10,F17,F23,F28,F33,F37,F43,F47,F54)</f>
        <v>30343</v>
      </c>
      <c r="G59" s="222">
        <f>SUM(G5,G10,G17,G23,G28,G33,G37,G43,G47,G54)</f>
        <v>100</v>
      </c>
    </row>
    <row r="60" spans="2:7" ht="15.75" thickBot="1" x14ac:dyDescent="0.3">
      <c r="B60" s="932" t="s">
        <v>49</v>
      </c>
      <c r="C60" s="933" t="s">
        <v>149</v>
      </c>
      <c r="D60" s="934">
        <f>SUM(D58:D59)</f>
        <v>37771</v>
      </c>
      <c r="E60" s="933" t="s">
        <v>91</v>
      </c>
      <c r="F60" s="935">
        <f>SUM(F58:F59)</f>
        <v>30343</v>
      </c>
      <c r="G60" s="933" t="s">
        <v>91</v>
      </c>
    </row>
    <row r="61" spans="2:7" x14ac:dyDescent="0.25">
      <c r="B61" s="925" t="s">
        <v>358</v>
      </c>
      <c r="C61" s="925"/>
      <c r="D61" s="925"/>
      <c r="E61" s="925"/>
    </row>
    <row r="62" spans="2:7" x14ac:dyDescent="0.25">
      <c r="B62" s="11" t="s">
        <v>355</v>
      </c>
      <c r="C62" s="11"/>
      <c r="D62" s="11"/>
      <c r="E62" s="11"/>
    </row>
    <row r="63" spans="2:7" x14ac:dyDescent="0.25">
      <c r="B63" s="11" t="s">
        <v>359</v>
      </c>
      <c r="C63" s="11"/>
      <c r="D63" s="11"/>
      <c r="E63" s="11"/>
    </row>
  </sheetData>
  <printOptions horizontalCentered="1"/>
  <pageMargins left="0" right="0" top="0.6692913385826772" bottom="0" header="0" footer="0"/>
  <pageSetup paperSize="9" scale="4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59999389629810485"/>
    <pageSetUpPr fitToPage="1"/>
  </sheetPr>
  <dimension ref="B1:P36"/>
  <sheetViews>
    <sheetView zoomScale="80" zoomScaleNormal="80" workbookViewId="0">
      <selection activeCell="B1" sqref="B1"/>
    </sheetView>
  </sheetViews>
  <sheetFormatPr defaultRowHeight="15" x14ac:dyDescent="0.25"/>
  <cols>
    <col min="1" max="1" width="2.5703125" style="2" customWidth="1"/>
    <col min="2" max="2" width="86.42578125" style="808" customWidth="1"/>
    <col min="3" max="3" width="14.7109375" style="2" customWidth="1"/>
    <col min="4" max="4" width="14.140625" style="2" customWidth="1"/>
    <col min="5" max="5" width="15.28515625" style="2" customWidth="1"/>
    <col min="6" max="6" width="14.85546875" style="2" customWidth="1"/>
    <col min="7" max="7" width="4.5703125" style="2" customWidth="1"/>
    <col min="8" max="8" width="12.5703125" style="2" hidden="1" customWidth="1"/>
    <col min="9" max="9" width="12" style="2" hidden="1" customWidth="1"/>
    <col min="10" max="10" width="15.42578125" style="2" customWidth="1"/>
    <col min="11" max="16384" width="9.140625" style="2"/>
  </cols>
  <sheetData>
    <row r="1" spans="2:16" ht="19.5" customHeight="1" x14ac:dyDescent="0.25">
      <c r="B1" s="11" t="s">
        <v>473</v>
      </c>
      <c r="C1" s="1"/>
      <c r="H1" s="11"/>
      <c r="P1" s="11"/>
    </row>
    <row r="2" spans="2:16" ht="18" customHeight="1" x14ac:dyDescent="0.25">
      <c r="B2" s="11" t="s">
        <v>474</v>
      </c>
      <c r="C2" s="1"/>
      <c r="H2" s="11"/>
    </row>
    <row r="3" spans="2:16" ht="16.5" customHeight="1" thickBot="1" x14ac:dyDescent="0.3">
      <c r="B3" s="348"/>
      <c r="H3" s="348"/>
    </row>
    <row r="4" spans="2:16" ht="24.75" customHeight="1" thickBot="1" x14ac:dyDescent="0.3">
      <c r="B4" s="1181" t="s">
        <v>131</v>
      </c>
      <c r="C4" s="809" t="s">
        <v>529</v>
      </c>
      <c r="D4" s="810" t="s">
        <v>530</v>
      </c>
      <c r="E4" s="809" t="s">
        <v>529</v>
      </c>
      <c r="F4" s="810" t="s">
        <v>530</v>
      </c>
    </row>
    <row r="5" spans="2:16" ht="45" customHeight="1" thickBot="1" x14ac:dyDescent="0.3">
      <c r="B5" s="1182"/>
      <c r="C5" s="1184" t="s">
        <v>373</v>
      </c>
      <c r="D5" s="1185"/>
      <c r="E5" s="1184" t="s">
        <v>500</v>
      </c>
      <c r="F5" s="1185" t="s">
        <v>500</v>
      </c>
    </row>
    <row r="6" spans="2:16" ht="48.75" customHeight="1" thickBot="1" x14ac:dyDescent="0.3">
      <c r="B6" s="1183"/>
      <c r="C6" s="811" t="s">
        <v>151</v>
      </c>
      <c r="D6" s="812" t="s">
        <v>151</v>
      </c>
      <c r="E6" s="811" t="s">
        <v>321</v>
      </c>
      <c r="F6" s="812" t="s">
        <v>321</v>
      </c>
    </row>
    <row r="7" spans="2:16" ht="30.75" customHeight="1" thickBot="1" x14ac:dyDescent="0.3">
      <c r="B7" s="772" t="s">
        <v>501</v>
      </c>
      <c r="C7" s="773">
        <f>(C8+C9+C19)</f>
        <v>579.63</v>
      </c>
      <c r="D7" s="774">
        <f>(D8+D9+D19)</f>
        <v>552.27</v>
      </c>
      <c r="E7" s="775">
        <f>SUM(E8+E9+E19)</f>
        <v>100</v>
      </c>
      <c r="F7" s="776">
        <f>SUM(F8+F9+F19)</f>
        <v>100</v>
      </c>
    </row>
    <row r="8" spans="2:16" ht="26.25" customHeight="1" thickBot="1" x14ac:dyDescent="0.3">
      <c r="B8" s="817" t="s">
        <v>11</v>
      </c>
      <c r="C8" s="816">
        <v>239.76</v>
      </c>
      <c r="D8" s="815">
        <v>212.66</v>
      </c>
      <c r="E8" s="814">
        <f>C8*100/C7</f>
        <v>41.364318617048809</v>
      </c>
      <c r="F8" s="813">
        <f>D8*100/D7</f>
        <v>38.506527604251545</v>
      </c>
    </row>
    <row r="9" spans="2:16" ht="27" customHeight="1" x14ac:dyDescent="0.25">
      <c r="B9" s="817" t="s">
        <v>502</v>
      </c>
      <c r="C9" s="816">
        <f>C11+C12+C13+C14+C15+C16+C17+C18</f>
        <v>284.75</v>
      </c>
      <c r="D9" s="818">
        <f>D11+D12+D13+D14+D15+D16+D17+D18</f>
        <v>290.87</v>
      </c>
      <c r="E9" s="814">
        <f>C9*100/C7</f>
        <v>49.126166692545247</v>
      </c>
      <c r="F9" s="819">
        <f>D9*100/D7</f>
        <v>52.66807901932026</v>
      </c>
      <c r="H9" s="777" t="str">
        <f>IF(C7=H13,"sumuje się do grand total","fausz")</f>
        <v>sumuje się do grand total</v>
      </c>
      <c r="I9" s="777" t="str">
        <f>IF(D7=I13,"sumuje się do grand total","fausz")</f>
        <v>sumuje się do grand total</v>
      </c>
    </row>
    <row r="10" spans="2:16" ht="18" customHeight="1" x14ac:dyDescent="0.25">
      <c r="B10" s="778" t="s">
        <v>503</v>
      </c>
      <c r="C10" s="779"/>
      <c r="D10" s="780"/>
      <c r="E10" s="781"/>
      <c r="F10" s="782"/>
      <c r="H10" s="783" t="str">
        <f>T(C4)</f>
        <v>2025 r.</v>
      </c>
      <c r="I10" s="783" t="str">
        <f>T(D4)</f>
        <v>2024 r.</v>
      </c>
    </row>
    <row r="11" spans="2:16" ht="21.75" customHeight="1" x14ac:dyDescent="0.25">
      <c r="B11" s="784" t="s">
        <v>504</v>
      </c>
      <c r="C11" s="785">
        <v>66.2</v>
      </c>
      <c r="D11" s="786">
        <v>62.18</v>
      </c>
      <c r="E11" s="787">
        <f>C11*100/C7</f>
        <v>11.421078964166796</v>
      </c>
      <c r="F11" s="788">
        <f>D11*100/D7</f>
        <v>11.258985641081356</v>
      </c>
      <c r="H11" s="789">
        <f>SUM(C11:C18)</f>
        <v>284.75</v>
      </c>
      <c r="I11" s="789">
        <f>SUM(D11:D18)</f>
        <v>290.87</v>
      </c>
    </row>
    <row r="12" spans="2:16" ht="19.5" customHeight="1" x14ac:dyDescent="0.25">
      <c r="B12" s="790" t="s">
        <v>374</v>
      </c>
      <c r="C12" s="791">
        <v>4.59</v>
      </c>
      <c r="D12" s="792">
        <v>4.78</v>
      </c>
      <c r="E12" s="793">
        <f>C12*100/C7</f>
        <v>0.79188447802908757</v>
      </c>
      <c r="F12" s="794">
        <f>D12*100/D7</f>
        <v>0.86551867745848954</v>
      </c>
      <c r="H12" s="795">
        <f>SUM(C8+C19)</f>
        <v>294.88</v>
      </c>
      <c r="I12" s="795">
        <f>SUM(D8+D19)</f>
        <v>261.39999999999998</v>
      </c>
    </row>
    <row r="13" spans="2:16" ht="24.75" customHeight="1" x14ac:dyDescent="0.25">
      <c r="B13" s="796" t="s">
        <v>375</v>
      </c>
      <c r="C13" s="791">
        <v>33.549999999999997</v>
      </c>
      <c r="D13" s="797">
        <v>29.7</v>
      </c>
      <c r="E13" s="793">
        <f>C13*100/C7</f>
        <v>5.7881752152235038</v>
      </c>
      <c r="F13" s="798">
        <f>D13*100/D7</f>
        <v>5.3778043348362212</v>
      </c>
      <c r="H13" s="799">
        <f>SUM(H11:H12)</f>
        <v>579.63</v>
      </c>
      <c r="I13" s="799">
        <f>SUM(I11:I12)</f>
        <v>552.27</v>
      </c>
    </row>
    <row r="14" spans="2:16" ht="20.25" customHeight="1" x14ac:dyDescent="0.25">
      <c r="B14" s="796" t="s">
        <v>376</v>
      </c>
      <c r="C14" s="791">
        <v>29.84</v>
      </c>
      <c r="D14" s="792">
        <v>29.84</v>
      </c>
      <c r="E14" s="793">
        <f>C14*100/C7</f>
        <v>5.1481117264461815</v>
      </c>
      <c r="F14" s="794">
        <f>D14*100/D7</f>
        <v>5.4031542542596922</v>
      </c>
    </row>
    <row r="15" spans="2:16" ht="25.5" customHeight="1" x14ac:dyDescent="0.25">
      <c r="B15" s="796" t="s">
        <v>377</v>
      </c>
      <c r="C15" s="791">
        <v>60.86</v>
      </c>
      <c r="D15" s="792">
        <v>67.17</v>
      </c>
      <c r="E15" s="793">
        <f>C15*100/C7</f>
        <v>10.499801597570864</v>
      </c>
      <c r="F15" s="794">
        <f>D15*100/D7</f>
        <v>12.162529197675051</v>
      </c>
      <c r="H15" s="800">
        <f>SUM(E11:E18)</f>
        <v>49.12616669254524</v>
      </c>
      <c r="I15" s="800">
        <f>SUM(F11:F18)</f>
        <v>52.66807901932026</v>
      </c>
    </row>
    <row r="16" spans="2:16" ht="23.25" customHeight="1" x14ac:dyDescent="0.25">
      <c r="B16" s="796" t="s">
        <v>378</v>
      </c>
      <c r="C16" s="791">
        <v>44.38</v>
      </c>
      <c r="D16" s="792">
        <v>54.41</v>
      </c>
      <c r="E16" s="793">
        <f>C16*100/C7</f>
        <v>7.6566085261287373</v>
      </c>
      <c r="F16" s="794">
        <f>D16*100/D7</f>
        <v>9.8520651130787478</v>
      </c>
      <c r="H16" s="795">
        <f>SUM(E8+E19+E9)</f>
        <v>100</v>
      </c>
      <c r="I16" s="795">
        <f>SUM(F8+F19+F9)</f>
        <v>100</v>
      </c>
    </row>
    <row r="17" spans="2:8" ht="25.5" customHeight="1" x14ac:dyDescent="0.25">
      <c r="B17" s="796" t="s">
        <v>379</v>
      </c>
      <c r="C17" s="791">
        <v>2.46</v>
      </c>
      <c r="D17" s="792">
        <v>2.54</v>
      </c>
      <c r="E17" s="793">
        <f>C17*100/C7</f>
        <v>0.42440867449924952</v>
      </c>
      <c r="F17" s="794">
        <f>D17*100/D7</f>
        <v>0.45991996668296303</v>
      </c>
    </row>
    <row r="18" spans="2:8" ht="26.25" customHeight="1" thickBot="1" x14ac:dyDescent="0.3">
      <c r="B18" s="801" t="s">
        <v>380</v>
      </c>
      <c r="C18" s="802">
        <v>42.87</v>
      </c>
      <c r="D18" s="803">
        <v>40.25</v>
      </c>
      <c r="E18" s="804">
        <f>C18*100/C7</f>
        <v>7.396097510480824</v>
      </c>
      <c r="F18" s="805">
        <f>D18*100/D7</f>
        <v>7.2881018342477413</v>
      </c>
    </row>
    <row r="19" spans="2:8" ht="21" customHeight="1" thickBot="1" x14ac:dyDescent="0.3">
      <c r="B19" s="824" t="s">
        <v>505</v>
      </c>
      <c r="C19" s="823">
        <v>55.12</v>
      </c>
      <c r="D19" s="822">
        <v>48.74</v>
      </c>
      <c r="E19" s="821">
        <f>C19*100/C7</f>
        <v>9.5095146904059487</v>
      </c>
      <c r="F19" s="820">
        <f>D19*100/D7</f>
        <v>8.8253933764281971</v>
      </c>
    </row>
    <row r="20" spans="2:8" ht="15.75" x14ac:dyDescent="0.25">
      <c r="B20" s="472" t="s">
        <v>152</v>
      </c>
      <c r="H20" s="806"/>
    </row>
    <row r="21" spans="2:8" ht="15.75" x14ac:dyDescent="0.25">
      <c r="B21" s="472" t="s">
        <v>506</v>
      </c>
      <c r="H21" s="806"/>
    </row>
    <row r="22" spans="2:8" ht="15.75" x14ac:dyDescent="0.25">
      <c r="B22" s="466" t="s">
        <v>232</v>
      </c>
      <c r="H22" s="807"/>
    </row>
    <row r="23" spans="2:8" ht="15.75" x14ac:dyDescent="0.25">
      <c r="B23" s="472" t="s">
        <v>313</v>
      </c>
      <c r="H23" s="806"/>
    </row>
    <row r="24" spans="2:8" ht="15.75" x14ac:dyDescent="0.25">
      <c r="B24" s="466"/>
      <c r="H24" s="807"/>
    </row>
    <row r="25" spans="2:8" ht="15.75" x14ac:dyDescent="0.25">
      <c r="B25" s="466"/>
      <c r="H25" s="807"/>
    </row>
    <row r="26" spans="2:8" ht="15.75" x14ac:dyDescent="0.25">
      <c r="B26" s="466"/>
      <c r="H26" s="807"/>
    </row>
    <row r="27" spans="2:8" ht="15.75" x14ac:dyDescent="0.25">
      <c r="B27" s="806"/>
      <c r="H27" s="807"/>
    </row>
    <row r="28" spans="2:8" ht="15.75" x14ac:dyDescent="0.25">
      <c r="B28" s="2"/>
      <c r="H28" s="807"/>
    </row>
    <row r="29" spans="2:8" ht="15.75" x14ac:dyDescent="0.25">
      <c r="B29" s="2"/>
      <c r="H29" s="807"/>
    </row>
    <row r="30" spans="2:8" ht="18" customHeight="1" x14ac:dyDescent="0.25">
      <c r="B30" s="806"/>
      <c r="H30" s="806"/>
    </row>
    <row r="31" spans="2:8" ht="15.75" x14ac:dyDescent="0.25">
      <c r="B31" s="806"/>
      <c r="H31" s="806"/>
    </row>
    <row r="32" spans="2:8" ht="15.75" x14ac:dyDescent="0.25">
      <c r="B32" s="2"/>
      <c r="H32" s="806"/>
    </row>
    <row r="33" spans="2:2" x14ac:dyDescent="0.25">
      <c r="B33" s="11"/>
    </row>
    <row r="34" spans="2:2" x14ac:dyDescent="0.25">
      <c r="B34" s="135"/>
    </row>
    <row r="35" spans="2:2" x14ac:dyDescent="0.25">
      <c r="B35" s="412"/>
    </row>
    <row r="36" spans="2:2" x14ac:dyDescent="0.25">
      <c r="B36" s="412"/>
    </row>
  </sheetData>
  <mergeCells count="3">
    <mergeCell ref="B4:B6"/>
    <mergeCell ref="C5:D5"/>
    <mergeCell ref="E5:F5"/>
  </mergeCells>
  <pageMargins left="0.7" right="0.7" top="0.75" bottom="0.75" header="0.3" footer="0.3"/>
  <pageSetup paperSize="9" scale="5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 tint="0.59999389629810485"/>
    <pageSetUpPr fitToPage="1"/>
  </sheetPr>
  <dimension ref="B1:R35"/>
  <sheetViews>
    <sheetView zoomScale="70" zoomScaleNormal="70" workbookViewId="0">
      <selection activeCell="B1" sqref="B1"/>
    </sheetView>
  </sheetViews>
  <sheetFormatPr defaultColWidth="9.140625" defaultRowHeight="15" x14ac:dyDescent="0.25"/>
  <cols>
    <col min="1" max="1" width="2.85546875" style="11" customWidth="1"/>
    <col min="2" max="2" width="23.7109375" style="11" customWidth="1"/>
    <col min="3" max="4" width="17.85546875" style="11" customWidth="1"/>
    <col min="5" max="6" width="18.85546875" style="11" customWidth="1"/>
    <col min="7" max="7" width="18.5703125" style="11" customWidth="1"/>
    <col min="8" max="8" width="18.42578125" style="11" customWidth="1"/>
    <col min="9" max="9" width="18" style="11" customWidth="1"/>
    <col min="10" max="10" width="2.85546875" style="11" customWidth="1"/>
    <col min="11" max="11" width="25.7109375" style="11" customWidth="1"/>
    <col min="12" max="12" width="19.140625" style="11" customWidth="1"/>
    <col min="13" max="13" width="17.140625" style="11" customWidth="1"/>
    <col min="14" max="15" width="17.28515625" style="11" customWidth="1"/>
    <col min="16" max="17" width="18" style="11" customWidth="1"/>
    <col min="18" max="18" width="16.5703125" style="11" customWidth="1"/>
    <col min="19" max="16384" width="9.140625" style="11"/>
  </cols>
  <sheetData>
    <row r="1" spans="2:18" ht="12" customHeight="1" x14ac:dyDescent="0.25"/>
    <row r="2" spans="2:18" x14ac:dyDescent="0.25">
      <c r="B2" s="11" t="s">
        <v>475</v>
      </c>
      <c r="K2" s="11" t="s">
        <v>551</v>
      </c>
    </row>
    <row r="3" spans="2:18" x14ac:dyDescent="0.25">
      <c r="B3" s="11" t="s">
        <v>293</v>
      </c>
      <c r="K3" s="11" t="s">
        <v>552</v>
      </c>
    </row>
    <row r="4" spans="2:18" ht="12.75" customHeight="1" thickBot="1" x14ac:dyDescent="0.3"/>
    <row r="5" spans="2:18" ht="25.5" customHeight="1" thickBot="1" x14ac:dyDescent="0.3">
      <c r="B5" s="1186" t="s">
        <v>12</v>
      </c>
      <c r="C5" s="1188" t="s">
        <v>531</v>
      </c>
      <c r="D5" s="1189"/>
      <c r="E5" s="1189"/>
      <c r="F5" s="1189"/>
      <c r="G5" s="1189"/>
      <c r="H5" s="1189"/>
      <c r="I5" s="1190"/>
      <c r="K5" s="1186" t="s">
        <v>12</v>
      </c>
      <c r="L5" s="1188" t="s">
        <v>532</v>
      </c>
      <c r="M5" s="1189"/>
      <c r="N5" s="1189"/>
      <c r="O5" s="1189"/>
      <c r="P5" s="1189"/>
      <c r="Q5" s="1189"/>
      <c r="R5" s="1190"/>
    </row>
    <row r="6" spans="2:18" ht="56.25" customHeight="1" x14ac:dyDescent="0.25">
      <c r="B6" s="1187"/>
      <c r="C6" s="1191" t="s">
        <v>42</v>
      </c>
      <c r="D6" s="1192"/>
      <c r="E6" s="732"/>
      <c r="F6" s="732"/>
      <c r="G6" s="732"/>
      <c r="H6" s="732"/>
      <c r="I6" s="732"/>
      <c r="K6" s="1187"/>
      <c r="L6" s="1191" t="s">
        <v>42</v>
      </c>
      <c r="M6" s="1192"/>
      <c r="N6" s="732"/>
      <c r="O6" s="732"/>
      <c r="P6" s="732"/>
      <c r="Q6" s="732"/>
      <c r="R6" s="732"/>
    </row>
    <row r="7" spans="2:18" ht="80.25" customHeight="1" x14ac:dyDescent="0.25">
      <c r="B7" s="1187"/>
      <c r="C7" s="1173" t="s">
        <v>39</v>
      </c>
      <c r="D7" s="1179" t="s">
        <v>40</v>
      </c>
      <c r="E7" s="733" t="s">
        <v>41</v>
      </c>
      <c r="F7" s="733" t="s">
        <v>424</v>
      </c>
      <c r="G7" s="733" t="s">
        <v>43</v>
      </c>
      <c r="H7" s="733" t="s">
        <v>44</v>
      </c>
      <c r="I7" s="733" t="s">
        <v>317</v>
      </c>
      <c r="K7" s="1187"/>
      <c r="L7" s="1173" t="s">
        <v>39</v>
      </c>
      <c r="M7" s="1179" t="s">
        <v>40</v>
      </c>
      <c r="N7" s="733" t="s">
        <v>41</v>
      </c>
      <c r="O7" s="733" t="s">
        <v>424</v>
      </c>
      <c r="P7" s="733" t="s">
        <v>43</v>
      </c>
      <c r="Q7" s="733" t="s">
        <v>44</v>
      </c>
      <c r="R7" s="733" t="s">
        <v>317</v>
      </c>
    </row>
    <row r="8" spans="2:18" ht="35.25" customHeight="1" thickBot="1" x14ac:dyDescent="0.3">
      <c r="B8" s="1187"/>
      <c r="C8" s="1167"/>
      <c r="D8" s="1171"/>
      <c r="E8" s="733"/>
      <c r="F8" s="733"/>
      <c r="G8" s="733"/>
      <c r="H8" s="733"/>
      <c r="I8" s="733"/>
      <c r="K8" s="1187"/>
      <c r="L8" s="1167"/>
      <c r="M8" s="1171"/>
      <c r="N8" s="733"/>
      <c r="O8" s="733"/>
      <c r="P8" s="733"/>
      <c r="Q8" s="733"/>
      <c r="R8" s="733"/>
    </row>
    <row r="9" spans="2:18" ht="24" customHeight="1" thickBot="1" x14ac:dyDescent="0.3">
      <c r="B9" s="475" t="s">
        <v>13</v>
      </c>
      <c r="C9" s="476">
        <f t="shared" ref="C9:I9" si="0">SUM(C10:C34)</f>
        <v>3222</v>
      </c>
      <c r="D9" s="477">
        <f t="shared" si="0"/>
        <v>1788</v>
      </c>
      <c r="E9" s="478">
        <f t="shared" si="0"/>
        <v>5110</v>
      </c>
      <c r="F9" s="478">
        <f>SUM(F10:F34)</f>
        <v>1539</v>
      </c>
      <c r="G9" s="478">
        <f t="shared" si="0"/>
        <v>527</v>
      </c>
      <c r="H9" s="478">
        <f t="shared" si="0"/>
        <v>1897</v>
      </c>
      <c r="I9" s="478">
        <f t="shared" si="0"/>
        <v>2121</v>
      </c>
      <c r="K9" s="475" t="s">
        <v>13</v>
      </c>
      <c r="L9" s="476">
        <f t="shared" ref="L9:R9" si="1">SUM(L10:L34)</f>
        <v>2937</v>
      </c>
      <c r="M9" s="477">
        <f t="shared" si="1"/>
        <v>1581</v>
      </c>
      <c r="N9" s="478">
        <f>SUM(N10:N34)</f>
        <v>4629</v>
      </c>
      <c r="O9" s="478">
        <f>SUM(O10:O34)</f>
        <v>1422</v>
      </c>
      <c r="P9" s="478">
        <f t="shared" si="1"/>
        <v>525</v>
      </c>
      <c r="Q9" s="478">
        <f t="shared" si="1"/>
        <v>1721</v>
      </c>
      <c r="R9" s="478">
        <f t="shared" si="1"/>
        <v>1623</v>
      </c>
    </row>
    <row r="10" spans="2:18" x14ac:dyDescent="0.25">
      <c r="B10" s="53" t="s">
        <v>14</v>
      </c>
      <c r="C10" s="30">
        <v>55</v>
      </c>
      <c r="D10" s="180">
        <v>34</v>
      </c>
      <c r="E10" s="34">
        <v>97</v>
      </c>
      <c r="F10" s="34">
        <v>13</v>
      </c>
      <c r="G10" s="34">
        <v>5</v>
      </c>
      <c r="H10" s="34">
        <v>35</v>
      </c>
      <c r="I10" s="34">
        <v>31</v>
      </c>
      <c r="K10" s="53" t="s">
        <v>14</v>
      </c>
      <c r="L10" s="30">
        <v>89</v>
      </c>
      <c r="M10" s="180">
        <v>31</v>
      </c>
      <c r="N10" s="34">
        <v>97</v>
      </c>
      <c r="O10" s="34">
        <v>11</v>
      </c>
      <c r="P10" s="34">
        <v>4</v>
      </c>
      <c r="Q10" s="34">
        <v>33</v>
      </c>
      <c r="R10" s="34">
        <v>14</v>
      </c>
    </row>
    <row r="11" spans="2:18" x14ac:dyDescent="0.25">
      <c r="B11" s="12" t="s">
        <v>15</v>
      </c>
      <c r="C11" s="13">
        <v>175</v>
      </c>
      <c r="D11" s="141">
        <v>63</v>
      </c>
      <c r="E11" s="32">
        <v>266</v>
      </c>
      <c r="F11" s="32">
        <v>159</v>
      </c>
      <c r="G11" s="32">
        <v>8</v>
      </c>
      <c r="H11" s="32">
        <v>128</v>
      </c>
      <c r="I11" s="32">
        <v>63</v>
      </c>
      <c r="K11" s="12" t="s">
        <v>15</v>
      </c>
      <c r="L11" s="13">
        <v>124</v>
      </c>
      <c r="M11" s="141">
        <v>62</v>
      </c>
      <c r="N11" s="32">
        <v>213</v>
      </c>
      <c r="O11" s="32">
        <v>36</v>
      </c>
      <c r="P11" s="32">
        <v>13</v>
      </c>
      <c r="Q11" s="32">
        <v>116</v>
      </c>
      <c r="R11" s="32">
        <v>67</v>
      </c>
    </row>
    <row r="12" spans="2:18" x14ac:dyDescent="0.25">
      <c r="B12" s="12" t="s">
        <v>16</v>
      </c>
      <c r="C12" s="13">
        <v>213</v>
      </c>
      <c r="D12" s="141">
        <v>8</v>
      </c>
      <c r="E12" s="32">
        <v>199</v>
      </c>
      <c r="F12" s="32">
        <v>27</v>
      </c>
      <c r="G12" s="32">
        <v>16</v>
      </c>
      <c r="H12" s="32">
        <v>83</v>
      </c>
      <c r="I12" s="32">
        <v>83</v>
      </c>
      <c r="K12" s="12" t="s">
        <v>16</v>
      </c>
      <c r="L12" s="13">
        <v>139</v>
      </c>
      <c r="M12" s="141">
        <v>3</v>
      </c>
      <c r="N12" s="32">
        <v>165</v>
      </c>
      <c r="O12" s="32">
        <v>20</v>
      </c>
      <c r="P12" s="32">
        <v>12</v>
      </c>
      <c r="Q12" s="32">
        <v>73</v>
      </c>
      <c r="R12" s="32">
        <v>62</v>
      </c>
    </row>
    <row r="13" spans="2:18" x14ac:dyDescent="0.25">
      <c r="B13" s="12" t="s">
        <v>17</v>
      </c>
      <c r="C13" s="13">
        <v>140</v>
      </c>
      <c r="D13" s="141">
        <v>313</v>
      </c>
      <c r="E13" s="32">
        <v>313</v>
      </c>
      <c r="F13" s="32">
        <v>73</v>
      </c>
      <c r="G13" s="32">
        <v>0</v>
      </c>
      <c r="H13" s="32">
        <v>93</v>
      </c>
      <c r="I13" s="32">
        <v>128</v>
      </c>
      <c r="K13" s="12" t="s">
        <v>17</v>
      </c>
      <c r="L13" s="13">
        <v>123</v>
      </c>
      <c r="M13" s="141">
        <v>297</v>
      </c>
      <c r="N13" s="32">
        <v>212</v>
      </c>
      <c r="O13" s="32">
        <v>38</v>
      </c>
      <c r="P13" s="32">
        <v>0</v>
      </c>
      <c r="Q13" s="32">
        <v>118</v>
      </c>
      <c r="R13" s="32">
        <v>92</v>
      </c>
    </row>
    <row r="14" spans="2:18" x14ac:dyDescent="0.25">
      <c r="B14" s="12" t="s">
        <v>18</v>
      </c>
      <c r="C14" s="13">
        <v>156</v>
      </c>
      <c r="D14" s="141">
        <v>62</v>
      </c>
      <c r="E14" s="32">
        <v>303</v>
      </c>
      <c r="F14" s="32">
        <v>55</v>
      </c>
      <c r="G14" s="32">
        <v>60</v>
      </c>
      <c r="H14" s="32">
        <v>120</v>
      </c>
      <c r="I14" s="32">
        <v>244</v>
      </c>
      <c r="K14" s="12" t="s">
        <v>18</v>
      </c>
      <c r="L14" s="13">
        <v>177</v>
      </c>
      <c r="M14" s="141">
        <v>62</v>
      </c>
      <c r="N14" s="32">
        <v>253</v>
      </c>
      <c r="O14" s="32">
        <v>35</v>
      </c>
      <c r="P14" s="32">
        <v>65</v>
      </c>
      <c r="Q14" s="32">
        <v>118</v>
      </c>
      <c r="R14" s="32">
        <v>223</v>
      </c>
    </row>
    <row r="15" spans="2:18" x14ac:dyDescent="0.25">
      <c r="B15" s="12" t="s">
        <v>19</v>
      </c>
      <c r="C15" s="13">
        <v>95</v>
      </c>
      <c r="D15" s="141">
        <v>19</v>
      </c>
      <c r="E15" s="32">
        <v>183</v>
      </c>
      <c r="F15" s="32">
        <v>58</v>
      </c>
      <c r="G15" s="32">
        <v>0</v>
      </c>
      <c r="H15" s="32">
        <v>47</v>
      </c>
      <c r="I15" s="32">
        <v>72</v>
      </c>
      <c r="K15" s="12" t="s">
        <v>19</v>
      </c>
      <c r="L15" s="13">
        <v>75</v>
      </c>
      <c r="M15" s="141">
        <v>21</v>
      </c>
      <c r="N15" s="32">
        <v>148</v>
      </c>
      <c r="O15" s="32">
        <v>60</v>
      </c>
      <c r="P15" s="32">
        <v>0</v>
      </c>
      <c r="Q15" s="32">
        <v>57</v>
      </c>
      <c r="R15" s="32">
        <v>50</v>
      </c>
    </row>
    <row r="16" spans="2:18" x14ac:dyDescent="0.25">
      <c r="B16" s="12" t="s">
        <v>20</v>
      </c>
      <c r="C16" s="13">
        <v>60</v>
      </c>
      <c r="D16" s="141">
        <v>24</v>
      </c>
      <c r="E16" s="32">
        <v>161</v>
      </c>
      <c r="F16" s="32">
        <v>26</v>
      </c>
      <c r="G16" s="32">
        <v>26</v>
      </c>
      <c r="H16" s="32">
        <v>57</v>
      </c>
      <c r="I16" s="32">
        <v>101</v>
      </c>
      <c r="K16" s="12" t="s">
        <v>20</v>
      </c>
      <c r="L16" s="13">
        <v>77</v>
      </c>
      <c r="M16" s="141">
        <v>25</v>
      </c>
      <c r="N16" s="32">
        <v>178</v>
      </c>
      <c r="O16" s="32">
        <v>11</v>
      </c>
      <c r="P16" s="32">
        <v>39</v>
      </c>
      <c r="Q16" s="32">
        <v>57</v>
      </c>
      <c r="R16" s="32">
        <v>69</v>
      </c>
    </row>
    <row r="17" spans="2:18" x14ac:dyDescent="0.25">
      <c r="B17" s="12" t="s">
        <v>21</v>
      </c>
      <c r="C17" s="13">
        <v>32</v>
      </c>
      <c r="D17" s="141">
        <v>35</v>
      </c>
      <c r="E17" s="32">
        <v>113</v>
      </c>
      <c r="F17" s="32">
        <v>11</v>
      </c>
      <c r="G17" s="32">
        <v>0</v>
      </c>
      <c r="H17" s="32">
        <v>61</v>
      </c>
      <c r="I17" s="32">
        <v>18</v>
      </c>
      <c r="K17" s="12" t="s">
        <v>21</v>
      </c>
      <c r="L17" s="13">
        <v>53</v>
      </c>
      <c r="M17" s="141">
        <v>35</v>
      </c>
      <c r="N17" s="32">
        <v>98</v>
      </c>
      <c r="O17" s="32">
        <v>14</v>
      </c>
      <c r="P17" s="32">
        <v>0</v>
      </c>
      <c r="Q17" s="32">
        <v>51</v>
      </c>
      <c r="R17" s="32">
        <v>26</v>
      </c>
    </row>
    <row r="18" spans="2:18" x14ac:dyDescent="0.25">
      <c r="B18" s="12" t="s">
        <v>22</v>
      </c>
      <c r="C18" s="13">
        <v>65</v>
      </c>
      <c r="D18" s="141">
        <v>144</v>
      </c>
      <c r="E18" s="32">
        <v>384</v>
      </c>
      <c r="F18" s="32">
        <v>153</v>
      </c>
      <c r="G18" s="32">
        <v>29</v>
      </c>
      <c r="H18" s="32">
        <v>70</v>
      </c>
      <c r="I18" s="32">
        <v>77</v>
      </c>
      <c r="K18" s="12" t="s">
        <v>22</v>
      </c>
      <c r="L18" s="13">
        <v>73</v>
      </c>
      <c r="M18" s="141">
        <v>144</v>
      </c>
      <c r="N18" s="32">
        <v>375</v>
      </c>
      <c r="O18" s="32">
        <v>101</v>
      </c>
      <c r="P18" s="32">
        <v>38</v>
      </c>
      <c r="Q18" s="32">
        <v>60</v>
      </c>
      <c r="R18" s="32">
        <v>44</v>
      </c>
    </row>
    <row r="19" spans="2:18" x14ac:dyDescent="0.25">
      <c r="B19" s="12" t="s">
        <v>23</v>
      </c>
      <c r="C19" s="13">
        <v>150</v>
      </c>
      <c r="D19" s="141">
        <v>25</v>
      </c>
      <c r="E19" s="32">
        <v>267</v>
      </c>
      <c r="F19" s="32">
        <v>6</v>
      </c>
      <c r="G19" s="32">
        <v>57</v>
      </c>
      <c r="H19" s="32">
        <v>33</v>
      </c>
      <c r="I19" s="32">
        <v>7</v>
      </c>
      <c r="K19" s="12" t="s">
        <v>23</v>
      </c>
      <c r="L19" s="13">
        <v>163</v>
      </c>
      <c r="M19" s="141">
        <v>24</v>
      </c>
      <c r="N19" s="32">
        <v>222</v>
      </c>
      <c r="O19" s="32">
        <v>2</v>
      </c>
      <c r="P19" s="32">
        <v>58</v>
      </c>
      <c r="Q19" s="32">
        <v>17</v>
      </c>
      <c r="R19" s="32">
        <v>3</v>
      </c>
    </row>
    <row r="20" spans="2:18" x14ac:dyDescent="0.25">
      <c r="B20" s="12" t="s">
        <v>24</v>
      </c>
      <c r="C20" s="13">
        <v>120</v>
      </c>
      <c r="D20" s="141">
        <v>100</v>
      </c>
      <c r="E20" s="32">
        <v>186</v>
      </c>
      <c r="F20" s="32">
        <v>70</v>
      </c>
      <c r="G20" s="32">
        <v>32</v>
      </c>
      <c r="H20" s="32">
        <v>84</v>
      </c>
      <c r="I20" s="32">
        <v>70</v>
      </c>
      <c r="K20" s="12" t="s">
        <v>24</v>
      </c>
      <c r="L20" s="13">
        <v>121</v>
      </c>
      <c r="M20" s="141">
        <v>89</v>
      </c>
      <c r="N20" s="32">
        <v>156</v>
      </c>
      <c r="O20" s="32">
        <v>69</v>
      </c>
      <c r="P20" s="32">
        <v>33</v>
      </c>
      <c r="Q20" s="32">
        <v>66</v>
      </c>
      <c r="R20" s="32">
        <v>68</v>
      </c>
    </row>
    <row r="21" spans="2:18" x14ac:dyDescent="0.25">
      <c r="B21" s="12" t="s">
        <v>25</v>
      </c>
      <c r="C21" s="13">
        <v>257</v>
      </c>
      <c r="D21" s="141">
        <v>59</v>
      </c>
      <c r="E21" s="32">
        <v>217</v>
      </c>
      <c r="F21" s="32">
        <v>33</v>
      </c>
      <c r="G21" s="32">
        <v>0</v>
      </c>
      <c r="H21" s="32">
        <v>77</v>
      </c>
      <c r="I21" s="32">
        <v>155</v>
      </c>
      <c r="K21" s="12" t="s">
        <v>25</v>
      </c>
      <c r="L21" s="13">
        <v>258</v>
      </c>
      <c r="M21" s="141">
        <v>58</v>
      </c>
      <c r="N21" s="32">
        <v>310</v>
      </c>
      <c r="O21" s="32">
        <v>14</v>
      </c>
      <c r="P21" s="32">
        <v>0</v>
      </c>
      <c r="Q21" s="32">
        <v>51</v>
      </c>
      <c r="R21" s="32">
        <v>102</v>
      </c>
    </row>
    <row r="22" spans="2:18" x14ac:dyDescent="0.25">
      <c r="B22" s="12" t="s">
        <v>26</v>
      </c>
      <c r="C22" s="13">
        <v>276</v>
      </c>
      <c r="D22" s="141">
        <v>44</v>
      </c>
      <c r="E22" s="32">
        <v>236</v>
      </c>
      <c r="F22" s="32">
        <v>58</v>
      </c>
      <c r="G22" s="32">
        <v>31</v>
      </c>
      <c r="H22" s="32">
        <v>69</v>
      </c>
      <c r="I22" s="32">
        <v>60</v>
      </c>
      <c r="K22" s="12" t="s">
        <v>26</v>
      </c>
      <c r="L22" s="13">
        <v>230</v>
      </c>
      <c r="M22" s="141">
        <v>25</v>
      </c>
      <c r="N22" s="32">
        <v>195</v>
      </c>
      <c r="O22" s="32">
        <v>61</v>
      </c>
      <c r="P22" s="32">
        <v>26</v>
      </c>
      <c r="Q22" s="32">
        <v>90</v>
      </c>
      <c r="R22" s="32">
        <v>28</v>
      </c>
    </row>
    <row r="23" spans="2:18" x14ac:dyDescent="0.25">
      <c r="B23" s="16" t="s">
        <v>27</v>
      </c>
      <c r="C23" s="13">
        <v>178</v>
      </c>
      <c r="D23" s="141">
        <v>71</v>
      </c>
      <c r="E23" s="204">
        <v>101</v>
      </c>
      <c r="F23" s="204">
        <v>15</v>
      </c>
      <c r="G23" s="32">
        <v>69</v>
      </c>
      <c r="H23" s="204">
        <v>85</v>
      </c>
      <c r="I23" s="32">
        <v>70</v>
      </c>
      <c r="K23" s="16" t="s">
        <v>27</v>
      </c>
      <c r="L23" s="13">
        <v>132</v>
      </c>
      <c r="M23" s="141">
        <v>64</v>
      </c>
      <c r="N23" s="204">
        <v>88</v>
      </c>
      <c r="O23" s="204">
        <v>19</v>
      </c>
      <c r="P23" s="32">
        <v>72</v>
      </c>
      <c r="Q23" s="204">
        <v>72</v>
      </c>
      <c r="R23" s="32">
        <v>62</v>
      </c>
    </row>
    <row r="24" spans="2:18" x14ac:dyDescent="0.25">
      <c r="B24" s="16" t="s">
        <v>28</v>
      </c>
      <c r="C24" s="13">
        <v>326</v>
      </c>
      <c r="D24" s="141">
        <v>172</v>
      </c>
      <c r="E24" s="204">
        <v>409</v>
      </c>
      <c r="F24" s="204">
        <v>42</v>
      </c>
      <c r="G24" s="32">
        <v>38</v>
      </c>
      <c r="H24" s="204">
        <v>64</v>
      </c>
      <c r="I24" s="32">
        <v>40</v>
      </c>
      <c r="K24" s="16" t="s">
        <v>28</v>
      </c>
      <c r="L24" s="13">
        <v>215</v>
      </c>
      <c r="M24" s="141">
        <v>82</v>
      </c>
      <c r="N24" s="204">
        <v>378</v>
      </c>
      <c r="O24" s="204">
        <v>44</v>
      </c>
      <c r="P24" s="32">
        <v>29</v>
      </c>
      <c r="Q24" s="204">
        <v>44</v>
      </c>
      <c r="R24" s="32">
        <v>56</v>
      </c>
    </row>
    <row r="25" spans="2:18" x14ac:dyDescent="0.25">
      <c r="B25" s="16" t="s">
        <v>29</v>
      </c>
      <c r="C25" s="13">
        <v>121</v>
      </c>
      <c r="D25" s="141">
        <v>63</v>
      </c>
      <c r="E25" s="204">
        <v>267</v>
      </c>
      <c r="F25" s="204">
        <v>34</v>
      </c>
      <c r="G25" s="32">
        <v>4</v>
      </c>
      <c r="H25" s="204">
        <v>70</v>
      </c>
      <c r="I25" s="32">
        <v>79</v>
      </c>
      <c r="K25" s="16" t="s">
        <v>29</v>
      </c>
      <c r="L25" s="13">
        <v>128</v>
      </c>
      <c r="M25" s="141">
        <v>61</v>
      </c>
      <c r="N25" s="204">
        <v>235</v>
      </c>
      <c r="O25" s="204">
        <v>29</v>
      </c>
      <c r="P25" s="32">
        <v>2</v>
      </c>
      <c r="Q25" s="204">
        <v>50</v>
      </c>
      <c r="R25" s="32">
        <v>40</v>
      </c>
    </row>
    <row r="26" spans="2:18" x14ac:dyDescent="0.25">
      <c r="B26" s="16" t="s">
        <v>30</v>
      </c>
      <c r="C26" s="13">
        <v>87</v>
      </c>
      <c r="D26" s="141">
        <v>80</v>
      </c>
      <c r="E26" s="204">
        <v>244</v>
      </c>
      <c r="F26" s="204">
        <v>174</v>
      </c>
      <c r="G26" s="32">
        <v>22</v>
      </c>
      <c r="H26" s="204">
        <v>158</v>
      </c>
      <c r="I26" s="32">
        <v>190</v>
      </c>
      <c r="K26" s="16" t="s">
        <v>30</v>
      </c>
      <c r="L26" s="13">
        <v>63</v>
      </c>
      <c r="M26" s="141">
        <v>83</v>
      </c>
      <c r="N26" s="204">
        <v>175</v>
      </c>
      <c r="O26" s="204">
        <v>242</v>
      </c>
      <c r="P26" s="32">
        <v>23</v>
      </c>
      <c r="Q26" s="204">
        <v>160</v>
      </c>
      <c r="R26" s="32">
        <v>154</v>
      </c>
    </row>
    <row r="27" spans="2:18" x14ac:dyDescent="0.25">
      <c r="B27" s="16" t="s">
        <v>31</v>
      </c>
      <c r="C27" s="13">
        <v>166</v>
      </c>
      <c r="D27" s="141">
        <v>15</v>
      </c>
      <c r="E27" s="204">
        <v>155</v>
      </c>
      <c r="F27" s="204">
        <v>129</v>
      </c>
      <c r="G27" s="32">
        <v>4</v>
      </c>
      <c r="H27" s="204">
        <v>109</v>
      </c>
      <c r="I27" s="32">
        <v>91</v>
      </c>
      <c r="K27" s="16" t="s">
        <v>31</v>
      </c>
      <c r="L27" s="13">
        <v>163</v>
      </c>
      <c r="M27" s="141">
        <v>18</v>
      </c>
      <c r="N27" s="204">
        <v>135</v>
      </c>
      <c r="O27" s="204">
        <v>163</v>
      </c>
      <c r="P27" s="32">
        <v>3</v>
      </c>
      <c r="Q27" s="204">
        <v>126</v>
      </c>
      <c r="R27" s="32">
        <v>59</v>
      </c>
    </row>
    <row r="28" spans="2:18" x14ac:dyDescent="0.25">
      <c r="B28" s="16" t="s">
        <v>32</v>
      </c>
      <c r="C28" s="13">
        <v>127</v>
      </c>
      <c r="D28" s="141">
        <v>27</v>
      </c>
      <c r="E28" s="204">
        <v>199</v>
      </c>
      <c r="F28" s="204">
        <v>37</v>
      </c>
      <c r="G28" s="32">
        <v>43</v>
      </c>
      <c r="H28" s="204">
        <v>70</v>
      </c>
      <c r="I28" s="32">
        <v>85</v>
      </c>
      <c r="K28" s="16" t="s">
        <v>32</v>
      </c>
      <c r="L28" s="13">
        <v>105</v>
      </c>
      <c r="M28" s="141">
        <v>22</v>
      </c>
      <c r="N28" s="204">
        <v>211</v>
      </c>
      <c r="O28" s="204">
        <v>39</v>
      </c>
      <c r="P28" s="32">
        <v>22</v>
      </c>
      <c r="Q28" s="204">
        <v>50</v>
      </c>
      <c r="R28" s="32">
        <v>61</v>
      </c>
    </row>
    <row r="29" spans="2:18" x14ac:dyDescent="0.25">
      <c r="B29" s="16" t="s">
        <v>33</v>
      </c>
      <c r="C29" s="13">
        <v>122</v>
      </c>
      <c r="D29" s="141">
        <v>137</v>
      </c>
      <c r="E29" s="204">
        <v>261</v>
      </c>
      <c r="F29" s="204">
        <v>87</v>
      </c>
      <c r="G29" s="32">
        <v>19</v>
      </c>
      <c r="H29" s="204">
        <v>50</v>
      </c>
      <c r="I29" s="32">
        <v>92</v>
      </c>
      <c r="K29" s="16" t="s">
        <v>33</v>
      </c>
      <c r="L29" s="13">
        <v>176</v>
      </c>
      <c r="M29" s="141">
        <v>174</v>
      </c>
      <c r="N29" s="204">
        <v>307</v>
      </c>
      <c r="O29" s="204">
        <v>67</v>
      </c>
      <c r="P29" s="32">
        <v>25</v>
      </c>
      <c r="Q29" s="204">
        <v>49</v>
      </c>
      <c r="R29" s="32">
        <v>63</v>
      </c>
    </row>
    <row r="30" spans="2:18" x14ac:dyDescent="0.25">
      <c r="B30" s="16" t="s">
        <v>34</v>
      </c>
      <c r="C30" s="13">
        <v>61</v>
      </c>
      <c r="D30" s="141">
        <v>198</v>
      </c>
      <c r="E30" s="204">
        <v>84</v>
      </c>
      <c r="F30" s="204">
        <v>17</v>
      </c>
      <c r="G30" s="32">
        <v>0</v>
      </c>
      <c r="H30" s="204">
        <v>31</v>
      </c>
      <c r="I30" s="32">
        <v>22</v>
      </c>
      <c r="K30" s="16" t="s">
        <v>34</v>
      </c>
      <c r="L30" s="13">
        <v>36</v>
      </c>
      <c r="M30" s="141">
        <v>131</v>
      </c>
      <c r="N30" s="204">
        <v>76</v>
      </c>
      <c r="O30" s="204">
        <v>17</v>
      </c>
      <c r="P30" s="32">
        <v>3</v>
      </c>
      <c r="Q30" s="204">
        <v>14</v>
      </c>
      <c r="R30" s="32">
        <v>13</v>
      </c>
    </row>
    <row r="31" spans="2:18" x14ac:dyDescent="0.25">
      <c r="B31" s="16" t="s">
        <v>35</v>
      </c>
      <c r="C31" s="13">
        <v>26</v>
      </c>
      <c r="D31" s="141">
        <v>3</v>
      </c>
      <c r="E31" s="204">
        <v>41</v>
      </c>
      <c r="F31" s="204">
        <v>11</v>
      </c>
      <c r="G31" s="32">
        <v>12</v>
      </c>
      <c r="H31" s="204">
        <v>24</v>
      </c>
      <c r="I31" s="32">
        <v>43</v>
      </c>
      <c r="K31" s="16" t="s">
        <v>35</v>
      </c>
      <c r="L31" s="13">
        <v>27</v>
      </c>
      <c r="M31" s="141">
        <v>0</v>
      </c>
      <c r="N31" s="204">
        <v>59</v>
      </c>
      <c r="O31" s="204">
        <v>5</v>
      </c>
      <c r="P31" s="32">
        <v>14</v>
      </c>
      <c r="Q31" s="204">
        <v>28</v>
      </c>
      <c r="R31" s="32">
        <v>31</v>
      </c>
    </row>
    <row r="32" spans="2:18" x14ac:dyDescent="0.25">
      <c r="B32" s="16" t="s">
        <v>36</v>
      </c>
      <c r="C32" s="13">
        <v>102</v>
      </c>
      <c r="D32" s="141">
        <v>11</v>
      </c>
      <c r="E32" s="204">
        <v>66</v>
      </c>
      <c r="F32" s="204">
        <v>19</v>
      </c>
      <c r="G32" s="32">
        <v>52</v>
      </c>
      <c r="H32" s="204">
        <v>69</v>
      </c>
      <c r="I32" s="32">
        <v>68</v>
      </c>
      <c r="K32" s="16" t="s">
        <v>36</v>
      </c>
      <c r="L32" s="13">
        <v>99</v>
      </c>
      <c r="M32" s="141">
        <v>7</v>
      </c>
      <c r="N32" s="204">
        <v>53</v>
      </c>
      <c r="O32" s="204">
        <v>11</v>
      </c>
      <c r="P32" s="32">
        <v>44</v>
      </c>
      <c r="Q32" s="204">
        <v>51</v>
      </c>
      <c r="R32" s="32">
        <v>64</v>
      </c>
    </row>
    <row r="33" spans="2:18" x14ac:dyDescent="0.25">
      <c r="B33" s="16" t="s">
        <v>37</v>
      </c>
      <c r="C33" s="13">
        <v>74</v>
      </c>
      <c r="D33" s="141">
        <v>18</v>
      </c>
      <c r="E33" s="204">
        <v>244</v>
      </c>
      <c r="F33" s="204">
        <v>219</v>
      </c>
      <c r="G33" s="32">
        <v>0</v>
      </c>
      <c r="H33" s="204">
        <v>186</v>
      </c>
      <c r="I33" s="32">
        <v>195</v>
      </c>
      <c r="K33" s="16" t="s">
        <v>37</v>
      </c>
      <c r="L33" s="13">
        <v>63</v>
      </c>
      <c r="M33" s="141">
        <v>19</v>
      </c>
      <c r="N33" s="204">
        <v>193</v>
      </c>
      <c r="O33" s="204">
        <v>303</v>
      </c>
      <c r="P33" s="32">
        <v>0</v>
      </c>
      <c r="Q33" s="204">
        <v>157</v>
      </c>
      <c r="R33" s="32">
        <v>156</v>
      </c>
    </row>
    <row r="34" spans="2:18" ht="15.75" thickBot="1" x14ac:dyDescent="0.3">
      <c r="B34" s="17" t="s">
        <v>38</v>
      </c>
      <c r="C34" s="18">
        <v>38</v>
      </c>
      <c r="D34" s="142">
        <v>63</v>
      </c>
      <c r="E34" s="205">
        <v>114</v>
      </c>
      <c r="F34" s="205">
        <v>13</v>
      </c>
      <c r="G34" s="35">
        <v>0</v>
      </c>
      <c r="H34" s="205">
        <v>24</v>
      </c>
      <c r="I34" s="35">
        <v>37</v>
      </c>
      <c r="K34" s="17" t="s">
        <v>38</v>
      </c>
      <c r="L34" s="18">
        <v>28</v>
      </c>
      <c r="M34" s="142">
        <v>44</v>
      </c>
      <c r="N34" s="205">
        <v>97</v>
      </c>
      <c r="O34" s="205">
        <v>11</v>
      </c>
      <c r="P34" s="35">
        <v>0</v>
      </c>
      <c r="Q34" s="205">
        <v>13</v>
      </c>
      <c r="R34" s="35">
        <v>16</v>
      </c>
    </row>
    <row r="35" spans="2:18" x14ac:dyDescent="0.25">
      <c r="E35" s="48"/>
      <c r="F35" s="48"/>
    </row>
  </sheetData>
  <mergeCells count="10">
    <mergeCell ref="C5:I5"/>
    <mergeCell ref="B5:B8"/>
    <mergeCell ref="C6:D6"/>
    <mergeCell ref="C7:C8"/>
    <mergeCell ref="D7:D8"/>
    <mergeCell ref="K5:K8"/>
    <mergeCell ref="L5:R5"/>
    <mergeCell ref="L6:M6"/>
    <mergeCell ref="L7:L8"/>
    <mergeCell ref="M7:M8"/>
  </mergeCells>
  <printOptions horizontalCentered="1"/>
  <pageMargins left="0" right="0" top="0.6692913385826772" bottom="0" header="0" footer="0"/>
  <pageSetup paperSize="9" scale="4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59999389629810485"/>
    <pageSetUpPr fitToPage="1"/>
  </sheetPr>
  <dimension ref="B2:R34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3.7109375" style="11" customWidth="1"/>
    <col min="2" max="2" width="25.28515625" style="11" customWidth="1"/>
    <col min="3" max="3" width="15.7109375" style="11" customWidth="1"/>
    <col min="4" max="4" width="15" style="11" customWidth="1"/>
    <col min="5" max="5" width="15.85546875" style="11" customWidth="1"/>
    <col min="6" max="6" width="2.7109375" style="11" customWidth="1"/>
    <col min="7" max="7" width="2.28515625" style="11" customWidth="1"/>
    <col min="8" max="8" width="5.28515625" style="11" customWidth="1"/>
    <col min="9" max="9" width="11.85546875" style="11" customWidth="1"/>
    <col min="10" max="10" width="10.42578125" style="11" customWidth="1"/>
    <col min="11" max="11" width="10.5703125" style="11" customWidth="1"/>
    <col min="12" max="12" width="11.7109375" style="11" customWidth="1"/>
    <col min="13" max="13" width="2.85546875" style="11" customWidth="1"/>
    <col min="14" max="14" width="6.85546875" style="11" customWidth="1"/>
    <col min="15" max="15" width="4.28515625" style="11" customWidth="1"/>
    <col min="16" max="16384" width="9.140625" style="11"/>
  </cols>
  <sheetData>
    <row r="2" spans="2:18" x14ac:dyDescent="0.25">
      <c r="B2" s="198" t="s">
        <v>476</v>
      </c>
      <c r="C2" s="198"/>
      <c r="D2" s="198"/>
      <c r="E2" s="198"/>
    </row>
    <row r="3" spans="2:18" ht="13.5" customHeight="1" x14ac:dyDescent="0.25">
      <c r="B3" s="135" t="s">
        <v>477</v>
      </c>
      <c r="C3" s="198"/>
      <c r="D3" s="198"/>
      <c r="E3" s="198"/>
    </row>
    <row r="4" spans="2:18" ht="12.75" customHeight="1" thickBot="1" x14ac:dyDescent="0.3">
      <c r="B4" s="194"/>
      <c r="C4" s="194"/>
      <c r="D4" s="194"/>
      <c r="E4" s="194"/>
    </row>
    <row r="5" spans="2:18" x14ac:dyDescent="0.25">
      <c r="B5" s="734"/>
      <c r="C5" s="735"/>
      <c r="D5" s="736" t="s">
        <v>48</v>
      </c>
      <c r="E5" s="737"/>
      <c r="M5" s="463"/>
      <c r="N5" s="463"/>
      <c r="O5" s="463"/>
    </row>
    <row r="6" spans="2:18" ht="45.75" thickBot="1" x14ac:dyDescent="0.3">
      <c r="B6" s="738" t="s">
        <v>12</v>
      </c>
      <c r="C6" s="739" t="s">
        <v>227</v>
      </c>
      <c r="D6" s="739" t="s">
        <v>229</v>
      </c>
      <c r="E6" s="740" t="s">
        <v>228</v>
      </c>
      <c r="H6" s="198"/>
      <c r="M6" s="463"/>
      <c r="N6" s="463"/>
      <c r="O6" s="463"/>
    </row>
    <row r="7" spans="2:18" ht="24.75" customHeight="1" thickBot="1" x14ac:dyDescent="0.3">
      <c r="B7" s="199" t="s">
        <v>13</v>
      </c>
      <c r="C7" s="200">
        <f>SUM(C8:C32)</f>
        <v>597</v>
      </c>
      <c r="D7" s="355">
        <f>SUM(D8:D32)</f>
        <v>0</v>
      </c>
      <c r="E7" s="201">
        <f>SUM(E8:E32)</f>
        <v>597</v>
      </c>
      <c r="M7" s="463"/>
      <c r="N7" s="463"/>
      <c r="O7" s="463"/>
    </row>
    <row r="8" spans="2:18" x14ac:dyDescent="0.25">
      <c r="B8" s="197" t="s">
        <v>14</v>
      </c>
      <c r="C8" s="356">
        <f>SUM(D8:E8)</f>
        <v>0</v>
      </c>
      <c r="D8" s="217">
        <v>0</v>
      </c>
      <c r="E8" s="218">
        <v>0</v>
      </c>
      <c r="G8" s="136"/>
      <c r="M8" s="463"/>
      <c r="N8" s="463"/>
      <c r="O8" s="463"/>
    </row>
    <row r="9" spans="2:18" x14ac:dyDescent="0.25">
      <c r="B9" s="195" t="s">
        <v>15</v>
      </c>
      <c r="C9" s="9">
        <f t="shared" ref="C9:C32" si="0">SUM(D9:E9)</f>
        <v>0</v>
      </c>
      <c r="D9" s="131">
        <v>0</v>
      </c>
      <c r="E9" s="132">
        <v>0</v>
      </c>
      <c r="G9" s="136"/>
      <c r="M9" s="463"/>
      <c r="N9" s="463"/>
      <c r="O9" s="463"/>
    </row>
    <row r="10" spans="2:18" x14ac:dyDescent="0.25">
      <c r="B10" s="195" t="s">
        <v>16</v>
      </c>
      <c r="C10" s="9">
        <f t="shared" si="0"/>
        <v>0</v>
      </c>
      <c r="D10" s="131">
        <v>0</v>
      </c>
      <c r="E10" s="132">
        <v>0</v>
      </c>
      <c r="J10" s="741" t="s">
        <v>239</v>
      </c>
      <c r="K10" s="741" t="s">
        <v>234</v>
      </c>
      <c r="L10" s="741" t="s">
        <v>235</v>
      </c>
      <c r="M10" s="463"/>
      <c r="N10" s="463"/>
      <c r="O10" s="463"/>
      <c r="P10" s="742" t="s">
        <v>238</v>
      </c>
      <c r="Q10" s="741" t="s">
        <v>234</v>
      </c>
      <c r="R10" s="741" t="s">
        <v>235</v>
      </c>
    </row>
    <row r="11" spans="2:18" x14ac:dyDescent="0.25">
      <c r="B11" s="195" t="s">
        <v>17</v>
      </c>
      <c r="C11" s="9">
        <f t="shared" si="0"/>
        <v>0</v>
      </c>
      <c r="D11" s="131">
        <v>0</v>
      </c>
      <c r="E11" s="132">
        <v>0</v>
      </c>
      <c r="J11" s="95" t="s">
        <v>275</v>
      </c>
      <c r="K11" s="14">
        <v>236</v>
      </c>
      <c r="L11" s="14">
        <v>199</v>
      </c>
      <c r="M11" s="463"/>
      <c r="N11" s="463"/>
      <c r="O11" s="463"/>
      <c r="P11" s="95">
        <v>2007</v>
      </c>
      <c r="Q11" s="14">
        <v>479</v>
      </c>
      <c r="R11" s="14">
        <v>437</v>
      </c>
    </row>
    <row r="12" spans="2:18" x14ac:dyDescent="0.25">
      <c r="B12" s="195" t="s">
        <v>18</v>
      </c>
      <c r="C12" s="9">
        <f t="shared" si="0"/>
        <v>0</v>
      </c>
      <c r="D12" s="131">
        <v>0</v>
      </c>
      <c r="E12" s="132">
        <v>0</v>
      </c>
      <c r="J12" s="95" t="s">
        <v>276</v>
      </c>
      <c r="K12" s="743">
        <v>1321</v>
      </c>
      <c r="L12" s="14">
        <v>909</v>
      </c>
      <c r="M12" s="463"/>
      <c r="N12" s="463"/>
      <c r="O12" s="463"/>
      <c r="P12" s="905">
        <v>2008</v>
      </c>
      <c r="Q12" s="826">
        <v>4570</v>
      </c>
      <c r="R12" s="826">
        <v>2154</v>
      </c>
    </row>
    <row r="13" spans="2:18" x14ac:dyDescent="0.25">
      <c r="B13" s="195" t="s">
        <v>19</v>
      </c>
      <c r="C13" s="9">
        <f t="shared" si="0"/>
        <v>0</v>
      </c>
      <c r="D13" s="131">
        <v>0</v>
      </c>
      <c r="E13" s="132">
        <v>0</v>
      </c>
      <c r="J13" s="95" t="s">
        <v>277</v>
      </c>
      <c r="K13" s="743">
        <v>8218</v>
      </c>
      <c r="L13" s="743">
        <v>4590</v>
      </c>
      <c r="M13" s="463"/>
      <c r="N13" s="463"/>
      <c r="O13" s="463"/>
      <c r="P13" s="905">
        <v>2009</v>
      </c>
      <c r="Q13" s="826">
        <v>9176</v>
      </c>
      <c r="R13" s="826">
        <v>6255</v>
      </c>
    </row>
    <row r="14" spans="2:18" x14ac:dyDescent="0.25">
      <c r="B14" s="195" t="s">
        <v>20</v>
      </c>
      <c r="C14" s="9">
        <f t="shared" si="0"/>
        <v>0</v>
      </c>
      <c r="D14" s="131">
        <v>0</v>
      </c>
      <c r="E14" s="132">
        <v>0</v>
      </c>
      <c r="J14" s="95" t="s">
        <v>278</v>
      </c>
      <c r="K14" s="14">
        <v>803</v>
      </c>
      <c r="L14" s="14">
        <v>129</v>
      </c>
      <c r="M14" s="463"/>
      <c r="N14" s="463"/>
      <c r="O14" s="463"/>
      <c r="P14" s="95">
        <v>2010</v>
      </c>
      <c r="Q14" s="14">
        <v>1412</v>
      </c>
      <c r="R14" s="14">
        <v>1120</v>
      </c>
    </row>
    <row r="15" spans="2:18" x14ac:dyDescent="0.25">
      <c r="B15" s="195" t="s">
        <v>21</v>
      </c>
      <c r="C15" s="9">
        <f t="shared" si="0"/>
        <v>0</v>
      </c>
      <c r="D15" s="131">
        <v>0</v>
      </c>
      <c r="E15" s="132">
        <v>0</v>
      </c>
      <c r="J15" s="95" t="s">
        <v>279</v>
      </c>
      <c r="K15" s="743">
        <v>2044</v>
      </c>
      <c r="L15" s="743">
        <v>1509</v>
      </c>
      <c r="M15" s="463"/>
      <c r="N15" s="463"/>
      <c r="O15" s="463"/>
      <c r="P15" s="95">
        <v>2011</v>
      </c>
      <c r="Q15" s="14">
        <v>2730</v>
      </c>
      <c r="R15" s="14">
        <v>2048</v>
      </c>
    </row>
    <row r="16" spans="2:18" x14ac:dyDescent="0.25">
      <c r="B16" s="195" t="s">
        <v>22</v>
      </c>
      <c r="C16" s="9">
        <f t="shared" si="0"/>
        <v>0</v>
      </c>
      <c r="D16" s="131">
        <v>0</v>
      </c>
      <c r="E16" s="132">
        <v>0</v>
      </c>
      <c r="J16" s="95" t="s">
        <v>280</v>
      </c>
      <c r="K16" s="14">
        <v>438</v>
      </c>
      <c r="L16" s="14">
        <v>549</v>
      </c>
      <c r="M16" s="335"/>
      <c r="N16" s="463"/>
      <c r="O16" s="463"/>
      <c r="P16" s="95">
        <v>2012</v>
      </c>
      <c r="Q16" s="14">
        <v>1273</v>
      </c>
      <c r="R16" s="14">
        <v>1050</v>
      </c>
    </row>
    <row r="17" spans="2:18" x14ac:dyDescent="0.25">
      <c r="B17" s="195" t="s">
        <v>23</v>
      </c>
      <c r="C17" s="9">
        <f t="shared" si="0"/>
        <v>0</v>
      </c>
      <c r="D17" s="131">
        <v>0</v>
      </c>
      <c r="E17" s="132">
        <v>0</v>
      </c>
      <c r="J17" s="95" t="s">
        <v>281</v>
      </c>
      <c r="K17" s="743">
        <v>1134</v>
      </c>
      <c r="L17" s="14">
        <v>590</v>
      </c>
      <c r="M17" s="335"/>
      <c r="N17" s="463"/>
      <c r="O17" s="463"/>
      <c r="P17" s="95">
        <v>2013</v>
      </c>
      <c r="Q17" s="14">
        <v>2106</v>
      </c>
      <c r="R17" s="14">
        <v>1235</v>
      </c>
    </row>
    <row r="18" spans="2:18" x14ac:dyDescent="0.25">
      <c r="B18" s="195" t="s">
        <v>24</v>
      </c>
      <c r="C18" s="9">
        <f t="shared" si="0"/>
        <v>0</v>
      </c>
      <c r="D18" s="131">
        <v>0</v>
      </c>
      <c r="E18" s="132">
        <v>0</v>
      </c>
      <c r="J18" s="95" t="s">
        <v>282</v>
      </c>
      <c r="K18" s="14">
        <v>809</v>
      </c>
      <c r="L18" s="14">
        <v>378</v>
      </c>
      <c r="M18" s="463"/>
      <c r="N18" s="463"/>
      <c r="O18" s="463"/>
      <c r="P18" s="95">
        <v>2014</v>
      </c>
      <c r="Q18" s="14">
        <v>1311</v>
      </c>
      <c r="R18" s="14">
        <v>651</v>
      </c>
    </row>
    <row r="19" spans="2:18" x14ac:dyDescent="0.25">
      <c r="B19" s="195" t="s">
        <v>25</v>
      </c>
      <c r="C19" s="9">
        <f t="shared" si="0"/>
        <v>120</v>
      </c>
      <c r="D19" s="131">
        <v>0</v>
      </c>
      <c r="E19" s="132">
        <v>120</v>
      </c>
      <c r="J19" s="95" t="s">
        <v>283</v>
      </c>
      <c r="K19" s="14">
        <v>991</v>
      </c>
      <c r="L19" s="14">
        <v>419</v>
      </c>
      <c r="M19" s="463"/>
      <c r="N19" s="463"/>
      <c r="O19" s="463"/>
      <c r="P19" s="95">
        <v>2015</v>
      </c>
      <c r="Q19" s="14">
        <v>1204</v>
      </c>
      <c r="R19" s="14">
        <v>1108</v>
      </c>
    </row>
    <row r="20" spans="2:18" x14ac:dyDescent="0.25">
      <c r="B20" s="195" t="s">
        <v>26</v>
      </c>
      <c r="C20" s="9">
        <f t="shared" si="0"/>
        <v>0</v>
      </c>
      <c r="D20" s="131">
        <v>0</v>
      </c>
      <c r="E20" s="132">
        <v>0</v>
      </c>
      <c r="J20" s="95" t="s">
        <v>284</v>
      </c>
      <c r="K20" s="14">
        <v>264</v>
      </c>
      <c r="L20" s="14">
        <v>92</v>
      </c>
      <c r="M20" s="463"/>
      <c r="N20" s="463"/>
      <c r="O20" s="463"/>
      <c r="P20" s="95">
        <v>2016</v>
      </c>
      <c r="Q20" s="14">
        <v>720</v>
      </c>
      <c r="R20" s="14">
        <v>609</v>
      </c>
    </row>
    <row r="21" spans="2:18" x14ac:dyDescent="0.25">
      <c r="B21" s="195" t="s">
        <v>27</v>
      </c>
      <c r="C21" s="9">
        <f t="shared" si="0"/>
        <v>0</v>
      </c>
      <c r="D21" s="131">
        <v>0</v>
      </c>
      <c r="E21" s="132">
        <v>0</v>
      </c>
      <c r="J21" s="95" t="s">
        <v>285</v>
      </c>
      <c r="K21" s="14">
        <v>485</v>
      </c>
      <c r="L21" s="14">
        <v>348</v>
      </c>
      <c r="M21" s="463"/>
      <c r="N21" s="463"/>
      <c r="O21" s="463"/>
      <c r="P21" s="95">
        <v>2017</v>
      </c>
      <c r="Q21" s="14">
        <v>819</v>
      </c>
      <c r="R21" s="14">
        <v>557</v>
      </c>
    </row>
    <row r="22" spans="2:18" x14ac:dyDescent="0.25">
      <c r="B22" s="195" t="s">
        <v>28</v>
      </c>
      <c r="C22" s="9">
        <f t="shared" si="0"/>
        <v>0</v>
      </c>
      <c r="D22" s="131">
        <v>0</v>
      </c>
      <c r="E22" s="132">
        <v>0</v>
      </c>
      <c r="J22" s="95" t="s">
        <v>236</v>
      </c>
      <c r="K22" s="14">
        <v>323</v>
      </c>
      <c r="L22" s="14">
        <v>358</v>
      </c>
      <c r="M22" s="463"/>
      <c r="N22" s="463"/>
      <c r="O22" s="463"/>
      <c r="P22" s="95">
        <v>2018</v>
      </c>
      <c r="Q22" s="14">
        <v>587</v>
      </c>
      <c r="R22" s="14">
        <v>530</v>
      </c>
    </row>
    <row r="23" spans="2:18" x14ac:dyDescent="0.25">
      <c r="B23" s="195" t="s">
        <v>29</v>
      </c>
      <c r="C23" s="9">
        <f t="shared" si="0"/>
        <v>0</v>
      </c>
      <c r="D23" s="131">
        <v>0</v>
      </c>
      <c r="E23" s="132">
        <v>0</v>
      </c>
      <c r="J23" s="95" t="s">
        <v>272</v>
      </c>
      <c r="K23" s="14">
        <v>835</v>
      </c>
      <c r="L23" s="14">
        <v>333</v>
      </c>
      <c r="M23" s="463"/>
      <c r="N23" s="463"/>
      <c r="O23" s="463"/>
      <c r="P23" s="95">
        <v>2019</v>
      </c>
      <c r="Q23" s="341">
        <v>1044</v>
      </c>
      <c r="R23" s="341">
        <v>726</v>
      </c>
    </row>
    <row r="24" spans="2:18" x14ac:dyDescent="0.25">
      <c r="B24" s="195" t="s">
        <v>30</v>
      </c>
      <c r="C24" s="9">
        <f t="shared" si="0"/>
        <v>76</v>
      </c>
      <c r="D24" s="131">
        <v>0</v>
      </c>
      <c r="E24" s="132">
        <v>76</v>
      </c>
      <c r="J24" s="95" t="s">
        <v>315</v>
      </c>
      <c r="K24" s="743">
        <v>3035</v>
      </c>
      <c r="L24" s="743">
        <v>1230</v>
      </c>
      <c r="M24" s="463"/>
      <c r="N24" s="463"/>
      <c r="O24" s="463"/>
      <c r="P24" s="905">
        <v>2020</v>
      </c>
      <c r="Q24" s="826">
        <v>4716</v>
      </c>
      <c r="R24" s="826">
        <v>2746</v>
      </c>
    </row>
    <row r="25" spans="2:18" x14ac:dyDescent="0.25">
      <c r="B25" s="195" t="s">
        <v>31</v>
      </c>
      <c r="C25" s="9">
        <f t="shared" si="0"/>
        <v>0</v>
      </c>
      <c r="D25" s="131">
        <v>0</v>
      </c>
      <c r="E25" s="132">
        <v>0</v>
      </c>
      <c r="G25" s="474" t="s">
        <v>422</v>
      </c>
      <c r="J25" s="95" t="s">
        <v>320</v>
      </c>
      <c r="K25" s="14">
        <v>88</v>
      </c>
      <c r="L25" s="14">
        <v>238</v>
      </c>
      <c r="M25" s="463"/>
      <c r="N25" s="463"/>
      <c r="O25" s="463"/>
      <c r="P25" s="95">
        <v>2021</v>
      </c>
      <c r="Q25" s="14">
        <v>716</v>
      </c>
      <c r="R25" s="14">
        <v>384</v>
      </c>
    </row>
    <row r="26" spans="2:18" ht="17.25" customHeight="1" x14ac:dyDescent="0.25">
      <c r="B26" s="195" t="s">
        <v>32</v>
      </c>
      <c r="C26" s="9">
        <f t="shared" si="0"/>
        <v>0</v>
      </c>
      <c r="D26" s="131">
        <v>0</v>
      </c>
      <c r="E26" s="132">
        <v>0</v>
      </c>
      <c r="J26" s="95" t="s">
        <v>360</v>
      </c>
      <c r="K26" s="95">
        <v>599</v>
      </c>
      <c r="L26" s="95">
        <v>204</v>
      </c>
      <c r="P26" s="95">
        <v>2022</v>
      </c>
      <c r="Q26" s="14">
        <v>599</v>
      </c>
      <c r="R26" s="14">
        <v>204</v>
      </c>
    </row>
    <row r="27" spans="2:18" x14ac:dyDescent="0.25">
      <c r="B27" s="195" t="s">
        <v>33</v>
      </c>
      <c r="C27" s="9">
        <f t="shared" si="0"/>
        <v>171</v>
      </c>
      <c r="D27" s="131">
        <v>0</v>
      </c>
      <c r="E27" s="132">
        <v>171</v>
      </c>
      <c r="J27" s="95" t="s">
        <v>386</v>
      </c>
      <c r="K27" s="95">
        <v>513</v>
      </c>
      <c r="L27" s="95">
        <v>353</v>
      </c>
      <c r="P27" s="95">
        <v>2023</v>
      </c>
      <c r="Q27" s="14">
        <v>760</v>
      </c>
      <c r="R27" s="14">
        <v>566</v>
      </c>
    </row>
    <row r="28" spans="2:18" x14ac:dyDescent="0.25">
      <c r="B28" s="195" t="s">
        <v>34</v>
      </c>
      <c r="C28" s="9">
        <f t="shared" si="0"/>
        <v>0</v>
      </c>
      <c r="D28" s="131">
        <v>0</v>
      </c>
      <c r="E28" s="132">
        <v>0</v>
      </c>
      <c r="J28" s="95" t="s">
        <v>423</v>
      </c>
      <c r="K28" s="95">
        <v>276</v>
      </c>
      <c r="L28" s="95">
        <v>230</v>
      </c>
      <c r="P28" s="95">
        <v>2024</v>
      </c>
      <c r="Q28" s="746">
        <v>323</v>
      </c>
      <c r="R28" s="746">
        <v>399</v>
      </c>
    </row>
    <row r="29" spans="2:18" x14ac:dyDescent="0.25">
      <c r="B29" s="195" t="s">
        <v>35</v>
      </c>
      <c r="C29" s="9">
        <f t="shared" si="0"/>
        <v>230</v>
      </c>
      <c r="D29" s="131">
        <v>0</v>
      </c>
      <c r="E29" s="132">
        <v>230</v>
      </c>
      <c r="J29" s="659" t="s">
        <v>498</v>
      </c>
      <c r="K29" s="659">
        <v>528</v>
      </c>
      <c r="L29" s="659">
        <v>302</v>
      </c>
      <c r="P29" s="659">
        <v>2025</v>
      </c>
      <c r="Q29" s="849">
        <v>597</v>
      </c>
      <c r="R29" s="849">
        <v>407</v>
      </c>
    </row>
    <row r="30" spans="2:18" x14ac:dyDescent="0.25">
      <c r="B30" s="195" t="s">
        <v>36</v>
      </c>
      <c r="C30" s="9">
        <f t="shared" si="0"/>
        <v>0</v>
      </c>
      <c r="D30" s="131">
        <v>0</v>
      </c>
      <c r="E30" s="132">
        <v>0</v>
      </c>
      <c r="J30" s="517" t="s">
        <v>434</v>
      </c>
    </row>
    <row r="31" spans="2:18" x14ac:dyDescent="0.25">
      <c r="B31" s="195" t="s">
        <v>37</v>
      </c>
      <c r="C31" s="9">
        <f t="shared" si="0"/>
        <v>0</v>
      </c>
      <c r="D31" s="131">
        <v>0</v>
      </c>
      <c r="E31" s="132">
        <v>0</v>
      </c>
      <c r="J31" s="463" t="s">
        <v>433</v>
      </c>
    </row>
    <row r="32" spans="2:18" ht="15.75" thickBot="1" x14ac:dyDescent="0.3">
      <c r="B32" s="196" t="s">
        <v>38</v>
      </c>
      <c r="C32" s="5">
        <f t="shared" si="0"/>
        <v>0</v>
      </c>
      <c r="D32" s="133">
        <v>0</v>
      </c>
      <c r="E32" s="134">
        <v>0</v>
      </c>
      <c r="J32" s="136">
        <f>SUM(L29-L28)</f>
        <v>72</v>
      </c>
    </row>
    <row r="33" spans="11:12" x14ac:dyDescent="0.25">
      <c r="K33" s="517"/>
      <c r="L33" s="517"/>
    </row>
    <row r="34" spans="11:12" x14ac:dyDescent="0.25">
      <c r="K34" s="463"/>
      <c r="L34" s="463"/>
    </row>
  </sheetData>
  <printOptions horizontalCentered="1" verticalCentered="1"/>
  <pageMargins left="1.7322834645669292" right="0" top="0.6692913385826772" bottom="0" header="0" footer="0"/>
  <pageSetup paperSize="9" scale="47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4044-08C1-4CBE-8692-7F17E672CBDD}">
  <sheetPr>
    <tabColor theme="3" tint="0.59999389629810485"/>
    <pageSetUpPr fitToPage="1"/>
  </sheetPr>
  <dimension ref="B2:M40"/>
  <sheetViews>
    <sheetView zoomScale="90" zoomScaleNormal="90" workbookViewId="0">
      <selection activeCell="B1" sqref="B1"/>
    </sheetView>
  </sheetViews>
  <sheetFormatPr defaultRowHeight="12" x14ac:dyDescent="0.2"/>
  <cols>
    <col min="1" max="1" width="3" style="423" customWidth="1"/>
    <col min="2" max="2" width="40.7109375" style="423" customWidth="1"/>
    <col min="3" max="4" width="7" style="423" customWidth="1"/>
    <col min="5" max="5" width="7.140625" style="423" customWidth="1"/>
    <col min="6" max="9" width="7.28515625" style="423" customWidth="1"/>
    <col min="10" max="16384" width="9.140625" style="423"/>
  </cols>
  <sheetData>
    <row r="2" spans="2:10" x14ac:dyDescent="0.2">
      <c r="B2" s="49" t="s">
        <v>553</v>
      </c>
      <c r="C2" s="49"/>
      <c r="D2" s="49"/>
      <c r="E2" s="49"/>
      <c r="F2" s="49"/>
      <c r="G2" s="49"/>
      <c r="H2" s="49"/>
      <c r="I2" s="49"/>
      <c r="J2" s="49"/>
    </row>
    <row r="3" spans="2:10" x14ac:dyDescent="0.2">
      <c r="B3" s="49" t="s">
        <v>540</v>
      </c>
      <c r="C3" s="49"/>
      <c r="D3" s="49"/>
      <c r="E3" s="49"/>
      <c r="F3" s="49"/>
      <c r="G3" s="49"/>
      <c r="H3" s="49"/>
      <c r="I3" s="49"/>
      <c r="J3" s="49"/>
    </row>
    <row r="4" spans="2:10" ht="12.75" thickBot="1" x14ac:dyDescent="0.25">
      <c r="B4" s="424" t="s">
        <v>541</v>
      </c>
      <c r="C4" s="49"/>
      <c r="D4" s="49"/>
      <c r="E4" s="49"/>
      <c r="F4" s="49"/>
      <c r="G4" s="49"/>
      <c r="H4" s="49"/>
      <c r="I4" s="49"/>
      <c r="J4" s="49"/>
    </row>
    <row r="5" spans="2:10" ht="24.75" thickBot="1" x14ac:dyDescent="0.25">
      <c r="B5" s="543" t="s">
        <v>3</v>
      </c>
      <c r="C5" s="544" t="s">
        <v>314</v>
      </c>
      <c r="D5" s="544" t="s">
        <v>319</v>
      </c>
      <c r="E5" s="544" t="s">
        <v>361</v>
      </c>
      <c r="F5" s="544" t="s">
        <v>385</v>
      </c>
      <c r="G5" s="544" t="s">
        <v>421</v>
      </c>
      <c r="H5" s="544" t="s">
        <v>484</v>
      </c>
      <c r="I5" s="884" t="s">
        <v>517</v>
      </c>
      <c r="J5" s="885" t="s">
        <v>94</v>
      </c>
    </row>
    <row r="6" spans="2:10" ht="25.5" customHeight="1" thickBot="1" x14ac:dyDescent="0.25">
      <c r="B6" s="904" t="s">
        <v>542</v>
      </c>
      <c r="C6" s="897"/>
      <c r="D6" s="897"/>
      <c r="E6" s="897"/>
      <c r="F6" s="897"/>
      <c r="G6" s="897"/>
      <c r="H6" s="897"/>
      <c r="I6" s="897"/>
      <c r="J6" s="901"/>
    </row>
    <row r="7" spans="2:10" x14ac:dyDescent="0.2">
      <c r="B7" s="893" t="s">
        <v>545</v>
      </c>
      <c r="C7" s="894">
        <v>55</v>
      </c>
      <c r="D7" s="894">
        <v>54.7</v>
      </c>
      <c r="E7" s="894">
        <v>56.8</v>
      </c>
      <c r="F7" s="894">
        <v>56.6</v>
      </c>
      <c r="G7" s="894">
        <v>56.9</v>
      </c>
      <c r="H7" s="894">
        <v>56.9</v>
      </c>
      <c r="I7" s="895">
        <v>57.2</v>
      </c>
      <c r="J7" s="896">
        <f>SUM(I7)-H7</f>
        <v>0.30000000000000426</v>
      </c>
    </row>
    <row r="8" spans="2:10" x14ac:dyDescent="0.2">
      <c r="B8" s="902" t="s">
        <v>539</v>
      </c>
      <c r="C8" s="899"/>
      <c r="D8" s="899"/>
      <c r="E8" s="899"/>
      <c r="F8" s="899"/>
      <c r="G8" s="899"/>
      <c r="H8" s="899"/>
      <c r="I8" s="899"/>
      <c r="J8" s="429"/>
    </row>
    <row r="9" spans="2:10" x14ac:dyDescent="0.2">
      <c r="B9" s="427" t="s">
        <v>543</v>
      </c>
      <c r="C9" s="428">
        <v>33</v>
      </c>
      <c r="D9" s="428">
        <v>27.8</v>
      </c>
      <c r="E9" s="428">
        <v>28.5</v>
      </c>
      <c r="F9" s="428">
        <v>28.5</v>
      </c>
      <c r="G9" s="428">
        <v>28.6</v>
      </c>
      <c r="H9" s="428">
        <v>29.4</v>
      </c>
      <c r="I9" s="889">
        <v>28.4</v>
      </c>
      <c r="J9" s="886">
        <f>SUM(I9)-H9</f>
        <v>-1</v>
      </c>
    </row>
    <row r="10" spans="2:10" ht="12.75" thickBot="1" x14ac:dyDescent="0.25">
      <c r="B10" s="430" t="s">
        <v>538</v>
      </c>
      <c r="C10" s="881">
        <v>82.8</v>
      </c>
      <c r="D10" s="881">
        <v>83</v>
      </c>
      <c r="E10" s="881">
        <v>85.5</v>
      </c>
      <c r="F10" s="881">
        <v>85.5</v>
      </c>
      <c r="G10" s="881">
        <v>86.3</v>
      </c>
      <c r="H10" s="881">
        <v>86.5</v>
      </c>
      <c r="I10" s="890">
        <v>87.5</v>
      </c>
      <c r="J10" s="887">
        <f>SUM(I10)-H10</f>
        <v>1</v>
      </c>
    </row>
    <row r="11" spans="2:10" ht="24.75" customHeight="1" thickBot="1" x14ac:dyDescent="0.25">
      <c r="B11" s="904" t="s">
        <v>544</v>
      </c>
      <c r="C11" s="898"/>
      <c r="D11" s="898"/>
      <c r="E11" s="898"/>
      <c r="F11" s="898"/>
      <c r="G11" s="898"/>
      <c r="H11" s="898"/>
      <c r="I11" s="898"/>
      <c r="J11" s="900"/>
    </row>
    <row r="12" spans="2:10" x14ac:dyDescent="0.2">
      <c r="B12" s="893" t="s">
        <v>545</v>
      </c>
      <c r="C12" s="894">
        <v>56.8</v>
      </c>
      <c r="D12" s="894">
        <v>56.6</v>
      </c>
      <c r="E12" s="894">
        <v>58.6</v>
      </c>
      <c r="F12" s="894">
        <v>58.3</v>
      </c>
      <c r="G12" s="894">
        <v>58.5</v>
      </c>
      <c r="H12" s="894">
        <v>58.6</v>
      </c>
      <c r="I12" s="895">
        <v>59</v>
      </c>
      <c r="J12" s="896">
        <f>SUM(I12)-H12</f>
        <v>0.39999999999999858</v>
      </c>
    </row>
    <row r="13" spans="2:10" x14ac:dyDescent="0.2">
      <c r="B13" s="902" t="s">
        <v>381</v>
      </c>
      <c r="C13" s="882"/>
      <c r="D13" s="882"/>
      <c r="E13" s="882"/>
      <c r="F13" s="882"/>
      <c r="G13" s="882"/>
      <c r="H13" s="882"/>
      <c r="I13" s="882"/>
      <c r="J13" s="883"/>
    </row>
    <row r="14" spans="2:10" x14ac:dyDescent="0.2">
      <c r="B14" s="427" t="s">
        <v>7</v>
      </c>
      <c r="C14" s="428">
        <v>81.3</v>
      </c>
      <c r="D14" s="428">
        <v>81.099999999999994</v>
      </c>
      <c r="E14" s="428">
        <v>81.599999999999994</v>
      </c>
      <c r="F14" s="428">
        <v>81.7</v>
      </c>
      <c r="G14" s="428">
        <v>81.900000000000006</v>
      </c>
      <c r="H14" s="428">
        <v>82.1</v>
      </c>
      <c r="I14" s="889">
        <v>82.4</v>
      </c>
      <c r="J14" s="886">
        <f>SUM(I14)-H14</f>
        <v>0.30000000000001137</v>
      </c>
    </row>
    <row r="15" spans="2:10" x14ac:dyDescent="0.2">
      <c r="B15" s="427" t="s">
        <v>8</v>
      </c>
      <c r="C15" s="428">
        <v>60.8</v>
      </c>
      <c r="D15" s="428">
        <v>60.6</v>
      </c>
      <c r="E15" s="428">
        <v>62.7</v>
      </c>
      <c r="F15" s="428">
        <v>61.9</v>
      </c>
      <c r="G15" s="428">
        <v>60.3</v>
      </c>
      <c r="H15" s="428">
        <v>60.1</v>
      </c>
      <c r="I15" s="889">
        <v>60.4</v>
      </c>
      <c r="J15" s="886">
        <f>SUM(I15)-H15</f>
        <v>0.29999999999999716</v>
      </c>
    </row>
    <row r="16" spans="2:10" x14ac:dyDescent="0.2">
      <c r="B16" s="427" t="s">
        <v>9</v>
      </c>
      <c r="C16" s="428">
        <v>53.1</v>
      </c>
      <c r="D16" s="428">
        <v>51.6</v>
      </c>
      <c r="E16" s="428">
        <v>53.6</v>
      </c>
      <c r="F16" s="428">
        <v>54.8</v>
      </c>
      <c r="G16" s="428">
        <v>54.8</v>
      </c>
      <c r="H16" s="428">
        <v>53.9</v>
      </c>
      <c r="I16" s="889">
        <v>56.9</v>
      </c>
      <c r="J16" s="886">
        <f>SUM(I16)-H16</f>
        <v>3</v>
      </c>
    </row>
    <row r="17" spans="2:10" x14ac:dyDescent="0.2">
      <c r="B17" s="427" t="s">
        <v>10</v>
      </c>
      <c r="C17" s="428">
        <v>54.5</v>
      </c>
      <c r="D17" s="428">
        <v>53.6</v>
      </c>
      <c r="E17" s="428">
        <v>56.4</v>
      </c>
      <c r="F17" s="428">
        <v>54.9</v>
      </c>
      <c r="G17" s="428">
        <v>52.8</v>
      </c>
      <c r="H17" s="428">
        <v>51.9</v>
      </c>
      <c r="I17" s="889">
        <v>52.1</v>
      </c>
      <c r="J17" s="886">
        <f>SUM(I17)-H17</f>
        <v>0.20000000000000284</v>
      </c>
    </row>
    <row r="18" spans="2:10" ht="24.75" thickBot="1" x14ac:dyDescent="0.25">
      <c r="B18" s="430" t="s">
        <v>382</v>
      </c>
      <c r="C18" s="881">
        <v>18</v>
      </c>
      <c r="D18" s="881">
        <v>17</v>
      </c>
      <c r="E18" s="881">
        <v>18.899999999999999</v>
      </c>
      <c r="F18" s="881">
        <v>18</v>
      </c>
      <c r="G18" s="881">
        <v>17</v>
      </c>
      <c r="H18" s="881">
        <v>16.5</v>
      </c>
      <c r="I18" s="890">
        <v>16.8</v>
      </c>
      <c r="J18" s="887">
        <f>SUM(I18)-H18</f>
        <v>0.30000000000000071</v>
      </c>
    </row>
    <row r="19" spans="2:10" ht="12.75" thickBot="1" x14ac:dyDescent="0.25"/>
    <row r="20" spans="2:10" ht="24.75" thickBot="1" x14ac:dyDescent="0.25">
      <c r="B20" s="543" t="s">
        <v>3</v>
      </c>
      <c r="C20" s="544" t="s">
        <v>314</v>
      </c>
      <c r="D20" s="544" t="s">
        <v>319</v>
      </c>
      <c r="E20" s="544" t="s">
        <v>361</v>
      </c>
      <c r="F20" s="544" t="s">
        <v>385</v>
      </c>
      <c r="G20" s="544" t="s">
        <v>421</v>
      </c>
      <c r="H20" s="544" t="s">
        <v>484</v>
      </c>
      <c r="I20" s="884" t="s">
        <v>517</v>
      </c>
      <c r="J20" s="885" t="s">
        <v>94</v>
      </c>
    </row>
    <row r="21" spans="2:10" ht="23.25" customHeight="1" thickBot="1" x14ac:dyDescent="0.25">
      <c r="B21" s="904" t="s">
        <v>542</v>
      </c>
      <c r="C21" s="897"/>
      <c r="D21" s="897"/>
      <c r="E21" s="897"/>
      <c r="F21" s="897"/>
      <c r="G21" s="897"/>
      <c r="H21" s="897"/>
      <c r="I21" s="897"/>
      <c r="J21" s="901"/>
    </row>
    <row r="22" spans="2:10" x14ac:dyDescent="0.2">
      <c r="B22" s="893" t="s">
        <v>546</v>
      </c>
      <c r="C22" s="894">
        <v>49.2</v>
      </c>
      <c r="D22" s="894">
        <v>49.8</v>
      </c>
      <c r="E22" s="894">
        <v>50.9</v>
      </c>
      <c r="F22" s="894">
        <v>50.1</v>
      </c>
      <c r="G22" s="894">
        <v>51.9</v>
      </c>
      <c r="H22" s="894">
        <v>52.4</v>
      </c>
      <c r="I22" s="895">
        <v>53.1</v>
      </c>
      <c r="J22" s="896">
        <f>SUM(I22)-H22</f>
        <v>0.70000000000000284</v>
      </c>
    </row>
    <row r="23" spans="2:10" x14ac:dyDescent="0.2">
      <c r="B23" s="902" t="s">
        <v>539</v>
      </c>
      <c r="C23" s="899"/>
      <c r="D23" s="899"/>
      <c r="E23" s="899"/>
      <c r="F23" s="899"/>
      <c r="G23" s="899"/>
      <c r="H23" s="899"/>
      <c r="I23" s="899"/>
      <c r="J23" s="429"/>
    </row>
    <row r="24" spans="2:10" x14ac:dyDescent="0.2">
      <c r="B24" s="427" t="s">
        <v>543</v>
      </c>
      <c r="C24" s="428">
        <v>25.5</v>
      </c>
      <c r="D24" s="428">
        <v>19</v>
      </c>
      <c r="E24" s="428">
        <v>16.399999999999999</v>
      </c>
      <c r="F24" s="428">
        <v>19</v>
      </c>
      <c r="G24" s="428">
        <v>25.9</v>
      </c>
      <c r="H24" s="428">
        <v>22.9</v>
      </c>
      <c r="I24" s="889">
        <v>23.9</v>
      </c>
      <c r="J24" s="886">
        <f>SUM(I24)-H24</f>
        <v>1</v>
      </c>
    </row>
    <row r="25" spans="2:10" ht="12.75" thickBot="1" x14ac:dyDescent="0.25">
      <c r="B25" s="430" t="s">
        <v>538</v>
      </c>
      <c r="C25" s="881">
        <v>75.900000000000006</v>
      </c>
      <c r="D25" s="881">
        <v>78</v>
      </c>
      <c r="E25" s="881">
        <v>80</v>
      </c>
      <c r="F25" s="881">
        <v>78.099999999999994</v>
      </c>
      <c r="G25" s="881">
        <v>80</v>
      </c>
      <c r="H25" s="881">
        <v>82.8</v>
      </c>
      <c r="I25" s="890">
        <v>84</v>
      </c>
      <c r="J25" s="887">
        <f>SUM(I25)-H25</f>
        <v>1.2000000000000028</v>
      </c>
    </row>
    <row r="26" spans="2:10" ht="27" customHeight="1" thickBot="1" x14ac:dyDescent="0.25">
      <c r="B26" s="904" t="s">
        <v>544</v>
      </c>
      <c r="C26" s="898"/>
      <c r="D26" s="898"/>
      <c r="E26" s="898"/>
      <c r="F26" s="898"/>
      <c r="G26" s="898"/>
      <c r="H26" s="898"/>
      <c r="I26" s="898"/>
      <c r="J26" s="900"/>
    </row>
    <row r="27" spans="2:10" x14ac:dyDescent="0.2">
      <c r="B27" s="893" t="s">
        <v>546</v>
      </c>
      <c r="C27" s="894">
        <v>52</v>
      </c>
      <c r="D27" s="894">
        <v>52</v>
      </c>
      <c r="E27" s="894">
        <v>53.3</v>
      </c>
      <c r="F27" s="894">
        <v>52.3</v>
      </c>
      <c r="G27" s="894">
        <v>53.6</v>
      </c>
      <c r="H27" s="894">
        <v>54.3</v>
      </c>
      <c r="I27" s="895">
        <v>55.1</v>
      </c>
      <c r="J27" s="896">
        <f>SUM(I27)-H27</f>
        <v>0.80000000000000426</v>
      </c>
    </row>
    <row r="28" spans="2:10" x14ac:dyDescent="0.2">
      <c r="B28" s="902" t="s">
        <v>381</v>
      </c>
      <c r="C28" s="892"/>
      <c r="D28" s="892"/>
      <c r="E28" s="892"/>
      <c r="F28" s="892"/>
      <c r="G28" s="892"/>
      <c r="H28" s="892"/>
      <c r="I28" s="892"/>
      <c r="J28" s="903"/>
    </row>
    <row r="29" spans="2:10" x14ac:dyDescent="0.2">
      <c r="B29" s="425" t="s">
        <v>7</v>
      </c>
      <c r="C29" s="426">
        <v>79.7</v>
      </c>
      <c r="D29" s="426">
        <v>80.5</v>
      </c>
      <c r="E29" s="426">
        <v>80.3</v>
      </c>
      <c r="F29" s="426">
        <v>81.599999999999994</v>
      </c>
      <c r="G29" s="426">
        <v>79.099999999999994</v>
      </c>
      <c r="H29" s="426">
        <v>79</v>
      </c>
      <c r="I29" s="891">
        <v>81.5</v>
      </c>
      <c r="J29" s="888">
        <f>SUM(I29)-H29</f>
        <v>2.5</v>
      </c>
    </row>
    <row r="30" spans="2:10" x14ac:dyDescent="0.2">
      <c r="B30" s="427" t="s">
        <v>8</v>
      </c>
      <c r="C30" s="428">
        <v>58.8</v>
      </c>
      <c r="D30" s="428">
        <v>57.5</v>
      </c>
      <c r="E30" s="428">
        <v>58.3</v>
      </c>
      <c r="F30" s="428">
        <v>59.8</v>
      </c>
      <c r="G30" s="428">
        <v>60.3</v>
      </c>
      <c r="H30" s="428">
        <v>60.4</v>
      </c>
      <c r="I30" s="889">
        <v>60.2</v>
      </c>
      <c r="J30" s="886">
        <f>SUM(I30)-H30</f>
        <v>-0.19999999999999574</v>
      </c>
    </row>
    <row r="31" spans="2:10" x14ac:dyDescent="0.2">
      <c r="B31" s="427" t="s">
        <v>9</v>
      </c>
      <c r="C31" s="428">
        <v>44.2</v>
      </c>
      <c r="D31" s="428">
        <v>42.6</v>
      </c>
      <c r="E31" s="428">
        <v>47.5</v>
      </c>
      <c r="F31" s="428">
        <v>42.5</v>
      </c>
      <c r="G31" s="428">
        <v>44.8</v>
      </c>
      <c r="H31" s="428">
        <v>47.6</v>
      </c>
      <c r="I31" s="889">
        <v>50.2</v>
      </c>
      <c r="J31" s="886">
        <f>SUM(I31)-H31</f>
        <v>2.6000000000000014</v>
      </c>
    </row>
    <row r="32" spans="2:10" x14ac:dyDescent="0.2">
      <c r="B32" s="427" t="s">
        <v>10</v>
      </c>
      <c r="C32" s="428">
        <v>52.3</v>
      </c>
      <c r="D32" s="428">
        <v>51.5</v>
      </c>
      <c r="E32" s="428">
        <v>52.7</v>
      </c>
      <c r="F32" s="428">
        <v>49</v>
      </c>
      <c r="G32" s="428">
        <v>49.1</v>
      </c>
      <c r="H32" s="428">
        <v>48.9</v>
      </c>
      <c r="I32" s="889">
        <v>48.4</v>
      </c>
      <c r="J32" s="886">
        <f>SUM(I32)-H32</f>
        <v>-0.5</v>
      </c>
    </row>
    <row r="33" spans="2:13" ht="24.75" thickBot="1" x14ac:dyDescent="0.25">
      <c r="B33" s="430" t="s">
        <v>382</v>
      </c>
      <c r="C33" s="881">
        <v>10.9</v>
      </c>
      <c r="D33" s="881">
        <v>11.2</v>
      </c>
      <c r="E33" s="881">
        <v>10.9</v>
      </c>
      <c r="F33" s="881">
        <v>10.8</v>
      </c>
      <c r="G33" s="881">
        <v>12.3</v>
      </c>
      <c r="H33" s="881">
        <v>11.6</v>
      </c>
      <c r="I33" s="890">
        <v>11.5</v>
      </c>
      <c r="J33" s="887">
        <f>SUM(I33)-H33</f>
        <v>-9.9999999999999645E-2</v>
      </c>
    </row>
    <row r="34" spans="2:13" x14ac:dyDescent="0.2">
      <c r="B34" s="49" t="s">
        <v>384</v>
      </c>
    </row>
    <row r="35" spans="2:13" x14ac:dyDescent="0.2">
      <c r="B35" s="49" t="s">
        <v>383</v>
      </c>
      <c r="C35" s="49"/>
      <c r="D35" s="49"/>
      <c r="E35" s="49"/>
      <c r="F35" s="49"/>
      <c r="G35" s="49"/>
      <c r="H35" s="49"/>
      <c r="I35" s="49"/>
      <c r="J35" s="49"/>
    </row>
    <row r="36" spans="2:13" x14ac:dyDescent="0.2">
      <c r="C36" s="49"/>
      <c r="D36" s="49"/>
      <c r="E36" s="49"/>
      <c r="F36" s="49"/>
      <c r="G36" s="49"/>
      <c r="H36" s="49"/>
      <c r="I36" s="49"/>
      <c r="M36" s="49" t="s">
        <v>368</v>
      </c>
    </row>
    <row r="37" spans="2:13" x14ac:dyDescent="0.2">
      <c r="M37" s="49" t="s">
        <v>369</v>
      </c>
    </row>
    <row r="38" spans="2:13" x14ac:dyDescent="0.2">
      <c r="M38" s="49" t="s">
        <v>370</v>
      </c>
    </row>
    <row r="39" spans="2:13" x14ac:dyDescent="0.2">
      <c r="M39" s="49" t="s">
        <v>371</v>
      </c>
    </row>
    <row r="40" spans="2:13" x14ac:dyDescent="0.2">
      <c r="M40" s="49" t="s">
        <v>372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B1:R30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2.7109375" style="11" customWidth="1"/>
    <col min="3" max="3" width="19.28515625" style="11" customWidth="1"/>
    <col min="4" max="4" width="13.28515625" style="11" customWidth="1"/>
    <col min="5" max="5" width="13.5703125" style="11" customWidth="1"/>
    <col min="6" max="6" width="14.5703125" style="11" customWidth="1"/>
    <col min="7" max="7" width="17.42578125" style="11" customWidth="1"/>
    <col min="8" max="8" width="19.5703125" style="11" customWidth="1"/>
    <col min="9" max="9" width="16.5703125" style="11" customWidth="1"/>
    <col min="10" max="10" width="15.85546875" style="11" customWidth="1"/>
    <col min="11" max="11" width="2.5703125" style="11" customWidth="1"/>
    <col min="12" max="12" width="11.140625" style="11" customWidth="1"/>
    <col min="13" max="13" width="11.28515625" style="11" customWidth="1"/>
    <col min="14" max="14" width="3.28515625" style="11" customWidth="1"/>
    <col min="15" max="15" width="21" style="11" customWidth="1"/>
    <col min="16" max="16" width="11.7109375" style="11" customWidth="1"/>
    <col min="17" max="17" width="22.140625" style="11" customWidth="1"/>
    <col min="18" max="18" width="9.42578125" style="11" bestFit="1" customWidth="1"/>
    <col min="19" max="16384" width="9.140625" style="11"/>
  </cols>
  <sheetData>
    <row r="1" spans="2:18" x14ac:dyDescent="0.25">
      <c r="B1" s="11" t="s">
        <v>437</v>
      </c>
    </row>
    <row r="2" spans="2:18" x14ac:dyDescent="0.25">
      <c r="B2" s="11" t="s">
        <v>438</v>
      </c>
    </row>
    <row r="3" spans="2:18" ht="15.75" thickBot="1" x14ac:dyDescent="0.3">
      <c r="B3" s="11" t="s">
        <v>439</v>
      </c>
    </row>
    <row r="4" spans="2:18" ht="166.5" customHeight="1" thickBot="1" x14ac:dyDescent="0.3">
      <c r="B4" s="545" t="s">
        <v>12</v>
      </c>
      <c r="C4" s="546" t="s">
        <v>511</v>
      </c>
      <c r="D4" s="512" t="s">
        <v>348</v>
      </c>
      <c r="E4" s="547" t="s">
        <v>413</v>
      </c>
      <c r="F4" s="515" t="s">
        <v>363</v>
      </c>
      <c r="G4" s="547" t="s">
        <v>365</v>
      </c>
      <c r="H4" s="548" t="s">
        <v>512</v>
      </c>
      <c r="I4" s="513" t="s">
        <v>349</v>
      </c>
      <c r="J4" s="514" t="s">
        <v>364</v>
      </c>
      <c r="K4" s="511"/>
      <c r="L4" s="549" t="s">
        <v>415</v>
      </c>
      <c r="M4" s="550" t="s">
        <v>414</v>
      </c>
    </row>
    <row r="5" spans="2:18" ht="24.75" customHeight="1" thickBot="1" x14ac:dyDescent="0.3">
      <c r="B5" s="551" t="s">
        <v>13</v>
      </c>
      <c r="C5" s="552">
        <f>SUM(C6:C26)</f>
        <v>72059</v>
      </c>
      <c r="D5" s="553">
        <f>SUM(D6:D26)</f>
        <v>585</v>
      </c>
      <c r="E5" s="917">
        <f>SUM(D5/C5)*100</f>
        <v>0.81183474652715137</v>
      </c>
      <c r="F5" s="552">
        <f>SUM(F6:F26)</f>
        <v>472</v>
      </c>
      <c r="G5" s="554">
        <f>(F5/D5)*100</f>
        <v>80.683760683760681</v>
      </c>
      <c r="H5" s="555">
        <f>SUM(H6:H26)</f>
        <v>1766</v>
      </c>
      <c r="I5" s="556">
        <f>SUM(I6:I26)</f>
        <v>32</v>
      </c>
      <c r="J5" s="557">
        <f>SUM(J6:J26)</f>
        <v>20</v>
      </c>
      <c r="K5" s="511"/>
      <c r="L5" s="558" t="s">
        <v>91</v>
      </c>
      <c r="M5" s="559" t="s">
        <v>91</v>
      </c>
      <c r="O5" s="560" t="s">
        <v>366</v>
      </c>
      <c r="P5" s="560"/>
      <c r="Q5" s="560" t="s">
        <v>367</v>
      </c>
      <c r="R5" s="560"/>
    </row>
    <row r="6" spans="2:18" ht="16.5" customHeight="1" x14ac:dyDescent="0.25">
      <c r="B6" s="408" t="s">
        <v>14</v>
      </c>
      <c r="C6" s="36">
        <v>1112</v>
      </c>
      <c r="D6" s="113">
        <v>14</v>
      </c>
      <c r="E6" s="37">
        <f t="shared" ref="E6:E25" si="0">SUM(D6/C6)*100</f>
        <v>1.2589928057553956</v>
      </c>
      <c r="F6" s="36">
        <v>11</v>
      </c>
      <c r="G6" s="37">
        <f>(F6/D6)*100</f>
        <v>78.571428571428569</v>
      </c>
      <c r="H6" s="38">
        <v>36</v>
      </c>
      <c r="I6" s="112">
        <v>1</v>
      </c>
      <c r="J6" s="833">
        <v>1</v>
      </c>
      <c r="K6" s="511"/>
      <c r="L6" s="409">
        <f>RANK(E6,E6:E26,0)+COUNTIF($E$6:$E$6,E6)-1</f>
        <v>3</v>
      </c>
      <c r="M6" s="410">
        <f>RANK(E6,E6:E26,1)+COUNTIF($E$6:$E$6,E6)-1</f>
        <v>19</v>
      </c>
      <c r="O6" s="922" t="str">
        <f>INDEX(B6:J26,MATCH(1,L6:L26,0),1)</f>
        <v>przemyski + mnpp</v>
      </c>
      <c r="P6" s="923">
        <f>INDEX(B6:J26,MATCH(1,L6:L26,0),4)</f>
        <v>1.8427294289363256</v>
      </c>
      <c r="Q6" s="135" t="str">
        <f>INDEX(B6:J26,MATCH(1,M6:M26,0),1)</f>
        <v>kolbuszowski</v>
      </c>
      <c r="R6" s="285">
        <f>INDEX(B6:J26,MATCH(1,M6:M26,0),4)</f>
        <v>5.9630292188431723E-2</v>
      </c>
    </row>
    <row r="7" spans="2:18" ht="15" customHeight="1" x14ac:dyDescent="0.25">
      <c r="B7" s="12" t="s">
        <v>15</v>
      </c>
      <c r="C7" s="13">
        <v>3681</v>
      </c>
      <c r="D7" s="14">
        <v>7</v>
      </c>
      <c r="E7" s="25">
        <f t="shared" si="0"/>
        <v>0.19016571583808747</v>
      </c>
      <c r="F7" s="13">
        <v>6</v>
      </c>
      <c r="G7" s="25">
        <f t="shared" ref="G7:G14" si="1">(F7/D7)*100</f>
        <v>85.714285714285708</v>
      </c>
      <c r="H7" s="32">
        <v>43</v>
      </c>
      <c r="I7" s="87">
        <v>0</v>
      </c>
      <c r="J7" s="15">
        <v>0</v>
      </c>
      <c r="K7" s="511"/>
      <c r="L7" s="50">
        <f>RANK(E7,E6:$E$26,0)+COUNTIF($E$6:$E$7,E7)-1</f>
        <v>19</v>
      </c>
      <c r="M7" s="318">
        <f>RANK(E7,$E6:E$26,1)+COUNTIF($E$6:$E$7,E7)-1</f>
        <v>3</v>
      </c>
      <c r="O7" s="922" t="str">
        <f>INDEX(B6:J26,MATCH(2,L6:L26,0),1)</f>
        <v>rzeszowski + mnpp</v>
      </c>
      <c r="P7" s="923">
        <f>INDEX(B6:J26,MATCH(2,L6:L26,0),4)</f>
        <v>1.5421920465567409</v>
      </c>
      <c r="Q7" s="135" t="str">
        <f>INDEX(B6:J26,MATCH(2,M6:M26,0),1)</f>
        <v>strzyżowski</v>
      </c>
      <c r="R7" s="285">
        <f>INDEX(B6:J26,MATCH(2,M6:M26,0),4)</f>
        <v>9.4280326838466377E-2</v>
      </c>
    </row>
    <row r="8" spans="2:18" ht="15" customHeight="1" x14ac:dyDescent="0.25">
      <c r="B8" s="12" t="s">
        <v>16</v>
      </c>
      <c r="C8" s="13">
        <v>2800</v>
      </c>
      <c r="D8" s="14">
        <v>23</v>
      </c>
      <c r="E8" s="25">
        <f t="shared" si="0"/>
        <v>0.8214285714285714</v>
      </c>
      <c r="F8" s="13">
        <v>23</v>
      </c>
      <c r="G8" s="25">
        <f t="shared" si="1"/>
        <v>100</v>
      </c>
      <c r="H8" s="32">
        <v>62</v>
      </c>
      <c r="I8" s="87">
        <v>1</v>
      </c>
      <c r="J8" s="15">
        <v>0</v>
      </c>
      <c r="K8" s="511"/>
      <c r="L8" s="50">
        <f>RANK(E8,E6:$E$26,0)+COUNTIF($E$6:$E$8,E8)-1</f>
        <v>9</v>
      </c>
      <c r="M8" s="318">
        <f>RANK(E8,$E6:E$26,1)+COUNTIF($E$6:$E$8,E8)-1</f>
        <v>13</v>
      </c>
      <c r="O8" s="922" t="str">
        <f>INDEX(B6:J26,MATCH(3,L6:L26,0),1)</f>
        <v>bieszczadzki</v>
      </c>
      <c r="P8" s="923">
        <f>INDEX(B6:J26,MATCH(3,L6:L26,0),4)</f>
        <v>1.2589928057553956</v>
      </c>
      <c r="Q8" s="135" t="str">
        <f>INDEX(B6:J26,MATCH(3,M6:M26,0),1)</f>
        <v>brzozowski</v>
      </c>
      <c r="R8" s="285">
        <f>INDEX(B6:J26,MATCH(3,M6:M26,0),4)</f>
        <v>0.19016571583808747</v>
      </c>
    </row>
    <row r="9" spans="2:18" ht="15.75" customHeight="1" x14ac:dyDescent="0.25">
      <c r="B9" s="12" t="s">
        <v>17</v>
      </c>
      <c r="C9" s="13">
        <v>4726</v>
      </c>
      <c r="D9" s="14">
        <v>43</v>
      </c>
      <c r="E9" s="25">
        <f t="shared" si="0"/>
        <v>0.90986034701650442</v>
      </c>
      <c r="F9" s="13">
        <v>37</v>
      </c>
      <c r="G9" s="25">
        <f t="shared" si="1"/>
        <v>86.04651162790698</v>
      </c>
      <c r="H9" s="32">
        <v>89</v>
      </c>
      <c r="I9" s="87">
        <v>0</v>
      </c>
      <c r="J9" s="15">
        <v>0</v>
      </c>
      <c r="K9" s="511"/>
      <c r="L9" s="50">
        <f>RANK(E9,E6:$E$26,0)+COUNTIF($E$6:$E$9,E9)-1</f>
        <v>7</v>
      </c>
      <c r="M9" s="318">
        <f>RANK(E9,$E6:E$26,1)+COUNTIF($E$6:$E$9,E9)-1</f>
        <v>15</v>
      </c>
      <c r="O9" s="922" t="str">
        <f>INDEX(B6:J26,MATCH(4,L6:L26,0),1)</f>
        <v>stalowowolski</v>
      </c>
      <c r="P9" s="923">
        <f>INDEX(B6:J26,MATCH(4,L6:L26,0),4)</f>
        <v>1.0224948875255624</v>
      </c>
      <c r="Q9" s="135" t="str">
        <f>INDEX(B6:J26,MATCH(4,M6:M26,0),1)</f>
        <v>jasielski</v>
      </c>
      <c r="R9" s="285">
        <f>INDEX(B6:J26,MATCH(4,M6:M26,0),4)</f>
        <v>0.32704886494805696</v>
      </c>
    </row>
    <row r="10" spans="2:18" ht="16.5" customHeight="1" x14ac:dyDescent="0.25">
      <c r="B10" s="12" t="s">
        <v>18</v>
      </c>
      <c r="C10" s="13">
        <v>5198</v>
      </c>
      <c r="D10" s="14">
        <v>17</v>
      </c>
      <c r="E10" s="25">
        <f t="shared" si="0"/>
        <v>0.32704886494805696</v>
      </c>
      <c r="F10" s="13">
        <v>15</v>
      </c>
      <c r="G10" s="25">
        <f t="shared" si="1"/>
        <v>88.235294117647058</v>
      </c>
      <c r="H10" s="32">
        <v>80</v>
      </c>
      <c r="I10" s="87">
        <v>0</v>
      </c>
      <c r="J10" s="15">
        <v>0</v>
      </c>
      <c r="K10" s="511"/>
      <c r="L10" s="50">
        <f>RANK(E10,E6:$E$26,0)+COUNTIF($E$6:$E$10,E10)-1</f>
        <v>18</v>
      </c>
      <c r="M10" s="318">
        <f>RANK(E10,$E6:E$26,1)+COUNTIF($E$6:$E$10,E10)-1</f>
        <v>4</v>
      </c>
      <c r="O10" s="922" t="str">
        <f>INDEX(B6:J26,MATCH(5,L6:L26,0),1)</f>
        <v>mielecki</v>
      </c>
      <c r="P10" s="923">
        <f>INDEX(B6:J26,MATCH(5,L6:L26,0),4)</f>
        <v>0.91376356367789835</v>
      </c>
      <c r="Q10" s="135" t="str">
        <f>INDEX(B6:J26,MATCH(5,M6:M26,0),1)</f>
        <v>leżajski</v>
      </c>
      <c r="R10" s="285">
        <f>INDEX(B6:J26,MATCH(5,M6:M26,0),4)</f>
        <v>0.36654448517160948</v>
      </c>
    </row>
    <row r="11" spans="2:18" ht="15.75" customHeight="1" x14ac:dyDescent="0.25">
      <c r="B11" s="12" t="s">
        <v>19</v>
      </c>
      <c r="C11" s="13">
        <v>1677</v>
      </c>
      <c r="D11" s="14">
        <v>1</v>
      </c>
      <c r="E11" s="25">
        <f t="shared" si="0"/>
        <v>5.9630292188431723E-2</v>
      </c>
      <c r="F11" s="13">
        <v>0</v>
      </c>
      <c r="G11" s="25">
        <f t="shared" si="1"/>
        <v>0</v>
      </c>
      <c r="H11" s="32">
        <v>35</v>
      </c>
      <c r="I11" s="87">
        <v>0</v>
      </c>
      <c r="J11" s="15">
        <v>0</v>
      </c>
      <c r="K11" s="511"/>
      <c r="L11" s="50">
        <f>RANK(E11,E6:$E$26,0)+COUNTIF($E$6:$E$11,E11)-1</f>
        <v>21</v>
      </c>
      <c r="M11" s="318">
        <f>RANK(E11,$E6:E$26,1)+COUNTIF($E$6:$E$11,E11)-1</f>
        <v>1</v>
      </c>
      <c r="O11" s="922" t="str">
        <f>INDEX(B6:J26,MATCH(6,L6:L26,0),1)</f>
        <v>sanocki</v>
      </c>
      <c r="P11" s="923">
        <f>INDEX(B6:J26,MATCH(6,L6:L26,0),4)</f>
        <v>0.91264667535853972</v>
      </c>
      <c r="Q11" s="135" t="str">
        <f>INDEX(B6:J26,MATCH(6,M6:M26,0),1)</f>
        <v>niżański</v>
      </c>
      <c r="R11" s="285">
        <f>INDEX(B6:J26,MATCH(6,M6:M26,0),4)</f>
        <v>0.44232732221844168</v>
      </c>
    </row>
    <row r="12" spans="2:18" ht="15" customHeight="1" x14ac:dyDescent="0.25">
      <c r="B12" s="561" t="s">
        <v>429</v>
      </c>
      <c r="C12" s="825">
        <v>3648</v>
      </c>
      <c r="D12" s="826">
        <v>22</v>
      </c>
      <c r="E12" s="541">
        <f t="shared" si="0"/>
        <v>0.60307017543859642</v>
      </c>
      <c r="F12" s="536">
        <v>20</v>
      </c>
      <c r="G12" s="541">
        <f t="shared" si="1"/>
        <v>90.909090909090907</v>
      </c>
      <c r="H12" s="537">
        <v>110</v>
      </c>
      <c r="I12" s="834">
        <v>3</v>
      </c>
      <c r="J12" s="538">
        <v>2</v>
      </c>
      <c r="K12" s="511"/>
      <c r="L12" s="562">
        <f>RANK(E12,E6:$E$26,0)+COUNTIF($E$6:$E$12,E12)-1</f>
        <v>11</v>
      </c>
      <c r="M12" s="563">
        <f>RANK(E12,$E6:E$26,1)+COUNTIF($E$6:$E$12,E12)-1</f>
        <v>11</v>
      </c>
      <c r="O12" s="922" t="str">
        <f>INDEX(B6:J26,MATCH(7,L6:L26,0),1)</f>
        <v>jarosławski</v>
      </c>
      <c r="P12" s="923">
        <f>INDEX(B6:J26,MATCH(7,L6:L30,0),4)</f>
        <v>0.90986034701650442</v>
      </c>
      <c r="Q12" s="135" t="str">
        <f>INDEX(B6:J26,MATCH(7,M6:M26,0),1)</f>
        <v>lubaczowski</v>
      </c>
      <c r="R12" s="285">
        <f>INDEX(B6:J26,MATCH(7,M6:M26,0),4)</f>
        <v>0.44742729306487694</v>
      </c>
    </row>
    <row r="13" spans="2:18" x14ac:dyDescent="0.25">
      <c r="B13" s="570" t="s">
        <v>21</v>
      </c>
      <c r="C13" s="536">
        <v>1754</v>
      </c>
      <c r="D13" s="826">
        <v>15</v>
      </c>
      <c r="E13" s="541">
        <f t="shared" si="0"/>
        <v>0.8551881413911061</v>
      </c>
      <c r="F13" s="536">
        <v>13</v>
      </c>
      <c r="G13" s="541">
        <f t="shared" si="1"/>
        <v>86.666666666666671</v>
      </c>
      <c r="H13" s="537">
        <v>25</v>
      </c>
      <c r="I13" s="834">
        <v>0</v>
      </c>
      <c r="J13" s="538">
        <v>0</v>
      </c>
      <c r="K13" s="511"/>
      <c r="L13" s="562">
        <f>RANK(E13,E6:$E$26,0)+COUNTIF($E$6:$E$13,E13)-1</f>
        <v>8</v>
      </c>
      <c r="M13" s="563">
        <f>RANK(E13,$E6:E$26,1)+COUNTIF($E$6:$E$13,E13)-1</f>
        <v>14</v>
      </c>
      <c r="O13" s="922" t="str">
        <f>INDEX(B6:J26,MATCH(8,L6:L26,0),1)</f>
        <v>leski</v>
      </c>
      <c r="P13" s="923">
        <f>INDEX(B6:J26,MATCH(8,L6:L26,0),4)</f>
        <v>0.8551881413911061</v>
      </c>
      <c r="Q13" s="135" t="str">
        <f>INDEX(B6:J26,MATCH(8,M6:M26,0),1)</f>
        <v>łańcucki</v>
      </c>
      <c r="R13" s="285">
        <f>INDEX(B6:J26,MATCH(8,M6:M26,0),4)</f>
        <v>0.45644731837200458</v>
      </c>
    </row>
    <row r="14" spans="2:18" ht="16.5" customHeight="1" x14ac:dyDescent="0.25">
      <c r="B14" s="12" t="s">
        <v>22</v>
      </c>
      <c r="C14" s="13">
        <v>3001</v>
      </c>
      <c r="D14" s="14">
        <v>11</v>
      </c>
      <c r="E14" s="25">
        <f t="shared" si="0"/>
        <v>0.36654448517160948</v>
      </c>
      <c r="F14" s="13">
        <v>10</v>
      </c>
      <c r="G14" s="25">
        <f t="shared" si="1"/>
        <v>90.909090909090907</v>
      </c>
      <c r="H14" s="32">
        <v>86</v>
      </c>
      <c r="I14" s="87">
        <v>0</v>
      </c>
      <c r="J14" s="15">
        <v>0</v>
      </c>
      <c r="K14" s="511"/>
      <c r="L14" s="50">
        <f>RANK(E14,E6:$E$26,0)+COUNTIF($E$6:$E$14,E14)-1</f>
        <v>17</v>
      </c>
      <c r="M14" s="318">
        <f>RANK(E14,$E6:E$26,1)+COUNTIF($E$6:$E$14,E14)-1</f>
        <v>5</v>
      </c>
      <c r="O14" s="922" t="str">
        <f>INDEX(B6:J26,MATCH(9,L6:L26,0),1)</f>
        <v>dębicki</v>
      </c>
      <c r="P14" s="923">
        <f>INDEX(B6:J26,MATCH(9,L6:L26,0),4)</f>
        <v>0.8214285714285714</v>
      </c>
      <c r="Q14" s="135" t="str">
        <f>INDEX(B6:J26,MATCH(9,M6:M26,0),1)</f>
        <v>ropczycko-sędziszowski</v>
      </c>
      <c r="R14" s="285">
        <f>INDEX(B6:J26,MATCH(9,M6:M26,0),4)</f>
        <v>0.51387461459403905</v>
      </c>
    </row>
    <row r="15" spans="2:18" x14ac:dyDescent="0.25">
      <c r="B15" s="12" t="s">
        <v>23</v>
      </c>
      <c r="C15" s="13">
        <v>1788</v>
      </c>
      <c r="D15" s="14">
        <v>8</v>
      </c>
      <c r="E15" s="25">
        <f t="shared" si="0"/>
        <v>0.44742729306487694</v>
      </c>
      <c r="F15" s="13">
        <v>6</v>
      </c>
      <c r="G15" s="25">
        <f t="shared" ref="G15:G24" si="2">(F15/D15)*100</f>
        <v>75</v>
      </c>
      <c r="H15" s="32">
        <v>59</v>
      </c>
      <c r="I15" s="87">
        <v>0</v>
      </c>
      <c r="J15" s="15">
        <v>0</v>
      </c>
      <c r="K15" s="511"/>
      <c r="L15" s="50">
        <f>RANK(E15,E6:$E$26,0)+COUNTIF($E$6:$E$15,E15)-1</f>
        <v>15</v>
      </c>
      <c r="M15" s="318">
        <f>RANK(E15,$E6:E$26,1)+COUNTIF($E$6:$E$15,E15)-1</f>
        <v>7</v>
      </c>
      <c r="O15" s="922" t="str">
        <f>INDEX(B6:J26,MATCH(10,L6:L26,0),1)</f>
        <v>tarnobrzeski + mnpp</v>
      </c>
      <c r="P15" s="923">
        <f>INDEX(B6:J26,MATCH(10,L6:L26,0),4)</f>
        <v>0.61799922750096559</v>
      </c>
      <c r="Q15" s="135" t="str">
        <f>INDEX(B6:J26,MATCH(10,M6:M26,0),1)</f>
        <v>przeworski</v>
      </c>
      <c r="R15" s="285">
        <f>INDEX(B6:J26,MATCH(10,M6:M26,0),4)</f>
        <v>0.554016620498615</v>
      </c>
    </row>
    <row r="16" spans="2:18" x14ac:dyDescent="0.25">
      <c r="B16" s="12" t="s">
        <v>24</v>
      </c>
      <c r="C16" s="13">
        <v>2629</v>
      </c>
      <c r="D16" s="14">
        <v>12</v>
      </c>
      <c r="E16" s="25">
        <f t="shared" si="0"/>
        <v>0.45644731837200458</v>
      </c>
      <c r="F16" s="13">
        <v>11</v>
      </c>
      <c r="G16" s="25">
        <f t="shared" si="2"/>
        <v>91.666666666666657</v>
      </c>
      <c r="H16" s="32">
        <v>40</v>
      </c>
      <c r="I16" s="87">
        <v>0</v>
      </c>
      <c r="J16" s="15">
        <v>0</v>
      </c>
      <c r="K16" s="511"/>
      <c r="L16" s="50">
        <f>RANK(E16,E6:$E$26,0)+COUNTIF($E$6:$E$16,E16)-1</f>
        <v>14</v>
      </c>
      <c r="M16" s="318">
        <f>RANK(E16,$E6:E$26,1)+COUNTIF($E$6:$E$16,E16)-1</f>
        <v>8</v>
      </c>
      <c r="O16" s="922" t="str">
        <f>INDEX(B6:J26,MATCH(11,L6:L26,0),1)</f>
        <v>krośnieński + mnpp</v>
      </c>
      <c r="P16" s="923">
        <f>INDEX(B6:J26,MATCH(11,L6:L26,0),4)</f>
        <v>0.60307017543859642</v>
      </c>
      <c r="Q16" s="135" t="str">
        <f>INDEX(B6:J26,MATCH(11,M6:M26,0),1)</f>
        <v>krośnieński + mnpp</v>
      </c>
      <c r="R16" s="285">
        <f>INDEX(B6:J26,MATCH(11,M6:M26,0),4)</f>
        <v>0.60307017543859642</v>
      </c>
    </row>
    <row r="17" spans="2:18" x14ac:dyDescent="0.25">
      <c r="B17" s="12" t="s">
        <v>25</v>
      </c>
      <c r="C17" s="13">
        <v>3502</v>
      </c>
      <c r="D17" s="14">
        <v>32</v>
      </c>
      <c r="E17" s="25">
        <f t="shared" si="0"/>
        <v>0.91376356367789835</v>
      </c>
      <c r="F17" s="13">
        <v>23</v>
      </c>
      <c r="G17" s="25">
        <f t="shared" si="2"/>
        <v>71.875</v>
      </c>
      <c r="H17" s="32">
        <v>94</v>
      </c>
      <c r="I17" s="87">
        <v>1</v>
      </c>
      <c r="J17" s="15">
        <v>1</v>
      </c>
      <c r="K17" s="511"/>
      <c r="L17" s="50">
        <f>RANK(E17,E6:$E$26,0)+COUNTIF($E$6:$E$17,E17)-1</f>
        <v>5</v>
      </c>
      <c r="M17" s="318">
        <f>RANK(E17,$E6:E$26,1)+COUNTIF($E$6:$E$17,E17)-1</f>
        <v>17</v>
      </c>
      <c r="O17" s="922" t="str">
        <f>INDEX(B6:J26,MATCH(12,L6:L26,0),1)</f>
        <v>przeworski</v>
      </c>
      <c r="P17" s="923">
        <f>INDEX(B6:J26,MATCH(12,L6:L26,0),4)</f>
        <v>0.554016620498615</v>
      </c>
      <c r="Q17" s="135" t="str">
        <f>INDEX(B6:J26,MATCH(12,M6:M26,0),1)</f>
        <v>tarnobrzeski + mnpp</v>
      </c>
      <c r="R17" s="285">
        <f>INDEX(B6:J26,MATCH(12,M6:M26,0),4)</f>
        <v>0.61799922750096559</v>
      </c>
    </row>
    <row r="18" spans="2:18" x14ac:dyDescent="0.25">
      <c r="B18" s="12" t="s">
        <v>26</v>
      </c>
      <c r="C18" s="13">
        <v>2939</v>
      </c>
      <c r="D18" s="14">
        <v>13</v>
      </c>
      <c r="E18" s="25">
        <f t="shared" si="0"/>
        <v>0.44232732221844168</v>
      </c>
      <c r="F18" s="13">
        <v>11</v>
      </c>
      <c r="G18" s="25">
        <f t="shared" si="2"/>
        <v>84.615384615384613</v>
      </c>
      <c r="H18" s="32">
        <v>27</v>
      </c>
      <c r="I18" s="87">
        <v>1</v>
      </c>
      <c r="J18" s="15">
        <v>1</v>
      </c>
      <c r="K18" s="511"/>
      <c r="L18" s="50">
        <f>RANK(E18,E6:$E$26,0)+COUNTIF($E$6:$E$18,E18)-1</f>
        <v>16</v>
      </c>
      <c r="M18" s="318">
        <f>RANK(E18,$E6:E$26,1)+COUNTIF($E$6:$E$18,E18)-1</f>
        <v>6</v>
      </c>
      <c r="O18" s="399" t="str">
        <f>INDEX(B6:J26,MATCH(13,L6:L26,0),1)</f>
        <v>ropczycko-sędziszowski</v>
      </c>
      <c r="P18" s="285">
        <f>INDEX(B6:J26,MATCH(13,L6:L26,0),4)</f>
        <v>0.51387461459403905</v>
      </c>
      <c r="Q18" s="135" t="str">
        <f>INDEX(B6:J26,MATCH(13,M6:M26,0),1)</f>
        <v>dębicki</v>
      </c>
      <c r="R18" s="285">
        <f>INDEX(B6:J26,MATCH(13,M6:M26,0),4)</f>
        <v>0.8214285714285714</v>
      </c>
    </row>
    <row r="19" spans="2:18" x14ac:dyDescent="0.25">
      <c r="B19" s="571" t="s">
        <v>430</v>
      </c>
      <c r="C19" s="827">
        <v>5481</v>
      </c>
      <c r="D19" s="828">
        <v>101</v>
      </c>
      <c r="E19" s="572">
        <f t="shared" si="0"/>
        <v>1.8427294289363256</v>
      </c>
      <c r="F19" s="831">
        <v>80</v>
      </c>
      <c r="G19" s="572">
        <f t="shared" si="2"/>
        <v>79.207920792079207</v>
      </c>
      <c r="H19" s="835">
        <v>184</v>
      </c>
      <c r="I19" s="836">
        <v>5</v>
      </c>
      <c r="J19" s="837">
        <v>4</v>
      </c>
      <c r="K19" s="511"/>
      <c r="L19" s="573">
        <f>RANK(E19,E6:$E$26,0)+COUNTIF($E$6:$E$19,E19)-1</f>
        <v>1</v>
      </c>
      <c r="M19" s="574">
        <f>RANK(E19,$E6:E$26,1)+COUNTIF($E$6:$E$19,E19)-1</f>
        <v>21</v>
      </c>
      <c r="O19" s="399" t="str">
        <f>INDEX(B6:J26,MATCH(14,L6:L26,0),1)</f>
        <v>łańcucki</v>
      </c>
      <c r="P19" s="285">
        <f>INDEX(B6:J26,MATCH(14,L6:L26,0),4)</f>
        <v>0.45644731837200458</v>
      </c>
      <c r="Q19" s="135" t="str">
        <f>INDEX(B6:J26,MATCH(14,M6:M26,0),1)</f>
        <v>leski</v>
      </c>
      <c r="R19" s="285">
        <f>INDEX(B6:J26,MATCH(14,M6:M26,0),4)</f>
        <v>0.8551881413911061</v>
      </c>
    </row>
    <row r="20" spans="2:18" x14ac:dyDescent="0.25">
      <c r="B20" s="16" t="s">
        <v>28</v>
      </c>
      <c r="C20" s="13">
        <v>3610</v>
      </c>
      <c r="D20" s="14">
        <v>20</v>
      </c>
      <c r="E20" s="25">
        <f t="shared" si="0"/>
        <v>0.554016620498615</v>
      </c>
      <c r="F20" s="13">
        <v>15</v>
      </c>
      <c r="G20" s="25">
        <f t="shared" si="2"/>
        <v>75</v>
      </c>
      <c r="H20" s="32">
        <v>42</v>
      </c>
      <c r="I20" s="87">
        <v>0</v>
      </c>
      <c r="J20" s="15">
        <v>0</v>
      </c>
      <c r="K20" s="511"/>
      <c r="L20" s="50">
        <f>RANK(E20,E6:$E$26,0)+COUNTIF($E$6:$E$20,E20)-1</f>
        <v>12</v>
      </c>
      <c r="M20" s="318">
        <f>RANK(E20,$E6:E$26,1)+COUNTIF($E$6:$E$20,E20)-1</f>
        <v>10</v>
      </c>
      <c r="O20" s="399" t="str">
        <f>INDEX(B6:J26,MATCH(15,L6:L26,0),1)</f>
        <v>lubaczowski</v>
      </c>
      <c r="P20" s="285">
        <f>INDEX(B6:J26,MATCH(15,L6:L26,0),4)</f>
        <v>0.44742729306487694</v>
      </c>
      <c r="Q20" s="135" t="str">
        <f>INDEX(B6:J26,MATCH(15,M6:M26,0),1)</f>
        <v>jarosławski</v>
      </c>
      <c r="R20" s="285">
        <f>INDEX(B6:J26,MATCH(15,M6:M26,0),4)</f>
        <v>0.90986034701650442</v>
      </c>
    </row>
    <row r="21" spans="2:18" x14ac:dyDescent="0.25">
      <c r="B21" s="16" t="s">
        <v>29</v>
      </c>
      <c r="C21" s="13">
        <v>2919</v>
      </c>
      <c r="D21" s="14">
        <v>15</v>
      </c>
      <c r="E21" s="25">
        <f t="shared" si="0"/>
        <v>0.51387461459403905</v>
      </c>
      <c r="F21" s="13">
        <v>11</v>
      </c>
      <c r="G21" s="25">
        <f t="shared" si="2"/>
        <v>73.333333333333329</v>
      </c>
      <c r="H21" s="32">
        <v>44</v>
      </c>
      <c r="I21" s="87">
        <v>1</v>
      </c>
      <c r="J21" s="15">
        <v>0</v>
      </c>
      <c r="K21" s="511"/>
      <c r="L21" s="50">
        <f>RANK(E21,E6:$E$26,0)+COUNTIF($E$6:$E$21,E21)-1</f>
        <v>13</v>
      </c>
      <c r="M21" s="318">
        <f>RANK(E21,$E6:E$26,1)+COUNTIF($E$6:$E$21,E21)-1</f>
        <v>9</v>
      </c>
      <c r="O21" s="399" t="str">
        <f>INDEX(B6:J26,MATCH(16,L6:L26,0),1)</f>
        <v>niżański</v>
      </c>
      <c r="P21" s="285">
        <f>INDEX(B6:J26,MATCH(16,L6:L26,0),4)</f>
        <v>0.44232732221844168</v>
      </c>
      <c r="Q21" s="135" t="str">
        <f>INDEX(B6:J26,MATCH(16,M6:M26,0),1)</f>
        <v>sanocki</v>
      </c>
      <c r="R21" s="285">
        <f>INDEX(B6:J26,MATCH(16,M6:M26,0),4)</f>
        <v>0.91264667535853972</v>
      </c>
    </row>
    <row r="22" spans="2:18" x14ac:dyDescent="0.25">
      <c r="B22" s="571" t="s">
        <v>431</v>
      </c>
      <c r="C22" s="827">
        <v>10310</v>
      </c>
      <c r="D22" s="828">
        <v>159</v>
      </c>
      <c r="E22" s="572">
        <f t="shared" si="0"/>
        <v>1.5421920465567409</v>
      </c>
      <c r="F22" s="831">
        <v>124</v>
      </c>
      <c r="G22" s="572">
        <f t="shared" si="2"/>
        <v>77.987421383647799</v>
      </c>
      <c r="H22" s="835">
        <v>224</v>
      </c>
      <c r="I22" s="836">
        <v>18</v>
      </c>
      <c r="J22" s="837">
        <v>10</v>
      </c>
      <c r="K22" s="511"/>
      <c r="L22" s="573">
        <f>RANK(E22,E6:$E$26,0)+COUNTIF($E$6:$E$22,E22)-1</f>
        <v>2</v>
      </c>
      <c r="M22" s="574">
        <f>RANK(E22,$E6:E$26,1)+COUNTIF($E$6:$E$22,E22)-1</f>
        <v>20</v>
      </c>
      <c r="O22" s="399" t="str">
        <f>INDEX(B6:J26,MATCH(17,L6:L26,0),1)</f>
        <v>leżajski</v>
      </c>
      <c r="P22" s="285">
        <f>INDEX(B6:J26,MATCH(17,L6:L26,0),4)</f>
        <v>0.36654448517160948</v>
      </c>
      <c r="Q22" s="135" t="str">
        <f>INDEX(B6:J26,MATCH(17,M6:M26,0),1)</f>
        <v>mielecki</v>
      </c>
      <c r="R22" s="285">
        <f>INDEX(B6:J26,MATCH(17,M6:M26,0),4)</f>
        <v>0.91376356367789835</v>
      </c>
    </row>
    <row r="23" spans="2:18" x14ac:dyDescent="0.25">
      <c r="B23" s="16" t="s">
        <v>31</v>
      </c>
      <c r="C23" s="13">
        <v>3068</v>
      </c>
      <c r="D23" s="14">
        <v>28</v>
      </c>
      <c r="E23" s="25">
        <f t="shared" si="0"/>
        <v>0.91264667535853972</v>
      </c>
      <c r="F23" s="13">
        <v>19</v>
      </c>
      <c r="G23" s="25">
        <f t="shared" si="2"/>
        <v>67.857142857142861</v>
      </c>
      <c r="H23" s="32">
        <v>76</v>
      </c>
      <c r="I23" s="87">
        <v>0</v>
      </c>
      <c r="J23" s="15">
        <v>0</v>
      </c>
      <c r="K23" s="511"/>
      <c r="L23" s="50">
        <f>RANK(E23,E6:$E$26,0)+COUNTIF($E$6:$E$23,E23)-1</f>
        <v>6</v>
      </c>
      <c r="M23" s="318">
        <f>RANK(E23,$E6:E$26,1)+COUNTIF($E$6:$E$23,E23)-1</f>
        <v>16</v>
      </c>
      <c r="O23" s="399" t="str">
        <f>INDEX(B6:J26,MATCH(18,L6:L26,0),1)</f>
        <v>jasielski</v>
      </c>
      <c r="P23" s="285">
        <f>INDEX(B6:J26,MATCH(18,L6:L26,0),4)</f>
        <v>0.32704886494805696</v>
      </c>
      <c r="Q23" s="135" t="str">
        <f>INDEX(B6:J26,MATCH(18,M6:M26,0),1)</f>
        <v>stalowowolski</v>
      </c>
      <c r="R23" s="285">
        <f>INDEX(B6:J26,MATCH(18,M6:M26,0),4)</f>
        <v>1.0224948875255624</v>
      </c>
    </row>
    <row r="24" spans="2:18" x14ac:dyDescent="0.25">
      <c r="B24" s="16" t="s">
        <v>32</v>
      </c>
      <c r="C24" s="13">
        <v>2445</v>
      </c>
      <c r="D24" s="14">
        <v>25</v>
      </c>
      <c r="E24" s="25">
        <f t="shared" si="0"/>
        <v>1.0224948875255624</v>
      </c>
      <c r="F24" s="13">
        <v>22</v>
      </c>
      <c r="G24" s="25">
        <f t="shared" si="2"/>
        <v>88</v>
      </c>
      <c r="H24" s="32">
        <v>58</v>
      </c>
      <c r="I24" s="87">
        <v>0</v>
      </c>
      <c r="J24" s="15">
        <v>0</v>
      </c>
      <c r="K24" s="511"/>
      <c r="L24" s="50">
        <f>RANK(E24,E6:$E$26,0)+COUNTIF($E$6:$E$24,E24)-1</f>
        <v>4</v>
      </c>
      <c r="M24" s="318">
        <f>RANK(E24,$E6:E$26,1)+COUNTIF($E$6:$E$24,E24)-1</f>
        <v>18</v>
      </c>
      <c r="O24" s="399" t="str">
        <f>INDEX(B6:J26,MATCH(19,L6:L26,0),1)</f>
        <v>brzozowski</v>
      </c>
      <c r="P24" s="285">
        <f>INDEX(B6:J26,MATCH(19,L6:L26,0),4)</f>
        <v>0.19016571583808747</v>
      </c>
      <c r="Q24" s="135" t="str">
        <f>INDEX(B6:J26,MATCH(19,M6:M26,0),1)</f>
        <v>bieszczadzki</v>
      </c>
      <c r="R24" s="285">
        <f>INDEX(B6:J26,MATCH(19,M6:M26,0),4)</f>
        <v>1.2589928057553956</v>
      </c>
    </row>
    <row r="25" spans="2:18" x14ac:dyDescent="0.25">
      <c r="B25" s="16" t="s">
        <v>33</v>
      </c>
      <c r="C25" s="13">
        <v>3182</v>
      </c>
      <c r="D25" s="14">
        <v>3</v>
      </c>
      <c r="E25" s="25">
        <f t="shared" si="0"/>
        <v>9.4280326838466377E-2</v>
      </c>
      <c r="F25" s="13">
        <v>1</v>
      </c>
      <c r="G25" s="25">
        <f t="shared" ref="G25:G26" si="3">(F25/D25)*100</f>
        <v>33.333333333333329</v>
      </c>
      <c r="H25" s="32">
        <v>43</v>
      </c>
      <c r="I25" s="87">
        <v>0</v>
      </c>
      <c r="J25" s="15">
        <v>0</v>
      </c>
      <c r="K25" s="511"/>
      <c r="L25" s="50">
        <f>RANK(E25,E6:$E$26,0)+COUNTIF($E$6:$E$25,E25)-1</f>
        <v>20</v>
      </c>
      <c r="M25" s="318">
        <f>RANK(E25,$E6:E$26,1)+COUNTIF($E$6:$E$25,E25)-1</f>
        <v>2</v>
      </c>
      <c r="O25" s="399" t="str">
        <f>INDEX(B6:J26,MATCH(20,L6:L26,0),1)</f>
        <v>strzyżowski</v>
      </c>
      <c r="P25" s="285">
        <f>INDEX(B6:J26,MATCH(20,L6:L26,0),4)</f>
        <v>9.4280326838466377E-2</v>
      </c>
      <c r="Q25" s="135" t="str">
        <f>INDEX(B6:J26,MATCH(20,M6:M26,0),1)</f>
        <v>rzeszowski + mnpp</v>
      </c>
      <c r="R25" s="285">
        <f>INDEX(B6:J26,MATCH(20,M6:M26,0),4)</f>
        <v>1.5421920465567409</v>
      </c>
    </row>
    <row r="26" spans="2:18" ht="15.75" thickBot="1" x14ac:dyDescent="0.3">
      <c r="B26" s="575" t="s">
        <v>432</v>
      </c>
      <c r="C26" s="829">
        <v>2589</v>
      </c>
      <c r="D26" s="830">
        <v>16</v>
      </c>
      <c r="E26" s="576">
        <f>SUM(D26/C26)*100</f>
        <v>0.61799922750096559</v>
      </c>
      <c r="F26" s="832">
        <v>14</v>
      </c>
      <c r="G26" s="576">
        <f t="shared" si="3"/>
        <v>87.5</v>
      </c>
      <c r="H26" s="838">
        <v>309</v>
      </c>
      <c r="I26" s="839">
        <v>1</v>
      </c>
      <c r="J26" s="840">
        <v>1</v>
      </c>
      <c r="K26" s="511"/>
      <c r="L26" s="577">
        <f>RANK(E26,E6:$E$26,0)+COUNTIF($E$6:$E$26,E26)-1</f>
        <v>10</v>
      </c>
      <c r="M26" s="578">
        <f>RANK(E26,$E6:E$26,1)+COUNTIF($E$6:$E$26,E26)-1</f>
        <v>12</v>
      </c>
      <c r="O26" s="399" t="str">
        <f>INDEX(B6:J26,MATCH(21,L6:L26,0),1)</f>
        <v>kolbuszowski</v>
      </c>
      <c r="P26" s="285">
        <f>INDEX(B6:J26,MATCH(21,L6:L26,0),4)</f>
        <v>5.9630292188431723E-2</v>
      </c>
      <c r="Q26" s="135" t="str">
        <f>INDEX(B6:J26,MATCH(21,M6:M26,0),1)</f>
        <v>przemyski + mnpp</v>
      </c>
      <c r="R26" s="285">
        <f>INDEX(B6:J26,MATCH(21,M6:M26,0),4)</f>
        <v>1.8427294289363256</v>
      </c>
    </row>
    <row r="27" spans="2:18" x14ac:dyDescent="0.25">
      <c r="B27" s="11" t="s">
        <v>548</v>
      </c>
      <c r="C27" s="506"/>
      <c r="D27" s="506"/>
      <c r="E27" s="507"/>
      <c r="F27" s="506"/>
      <c r="G27" s="508"/>
      <c r="H27" s="506"/>
      <c r="I27" s="506"/>
      <c r="J27" s="506"/>
      <c r="K27" s="463"/>
      <c r="L27" s="509"/>
      <c r="M27" s="509"/>
      <c r="P27" s="285"/>
      <c r="R27" s="285"/>
    </row>
    <row r="28" spans="2:18" x14ac:dyDescent="0.25">
      <c r="B28" s="11" t="s">
        <v>507</v>
      </c>
      <c r="C28" s="335"/>
      <c r="D28" s="335"/>
      <c r="E28" s="510"/>
      <c r="F28" s="335"/>
      <c r="G28" s="359"/>
      <c r="H28" s="335"/>
      <c r="I28" s="335"/>
      <c r="J28" s="335"/>
      <c r="K28" s="463"/>
      <c r="L28" s="464"/>
      <c r="M28" s="464"/>
      <c r="P28" s="285"/>
      <c r="R28" s="285"/>
    </row>
    <row r="29" spans="2:18" x14ac:dyDescent="0.25">
      <c r="B29" s="463"/>
      <c r="C29" s="335"/>
      <c r="D29" s="335"/>
      <c r="E29" s="510"/>
      <c r="F29" s="335"/>
      <c r="G29" s="359"/>
      <c r="H29" s="335"/>
      <c r="I29" s="335"/>
      <c r="J29" s="335"/>
      <c r="K29" s="463"/>
      <c r="L29" s="464"/>
      <c r="M29" s="464"/>
      <c r="P29" s="285"/>
      <c r="R29" s="285"/>
    </row>
    <row r="30" spans="2:18" x14ac:dyDescent="0.25">
      <c r="B30" s="463"/>
      <c r="C30" s="335"/>
      <c r="D30" s="335"/>
      <c r="E30" s="510"/>
      <c r="F30" s="335"/>
      <c r="G30" s="359"/>
      <c r="H30" s="335"/>
      <c r="I30" s="335"/>
      <c r="J30" s="335"/>
      <c r="K30" s="463"/>
      <c r="L30" s="464"/>
      <c r="M30" s="464"/>
      <c r="P30" s="285"/>
      <c r="R30" s="285"/>
    </row>
  </sheetData>
  <pageMargins left="0.7" right="0.7" top="0.75" bottom="0.75" header="0.3" footer="0.3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B1:T21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35.28515625" style="11" customWidth="1"/>
    <col min="3" max="3" width="10.28515625" style="11" customWidth="1"/>
    <col min="4" max="4" width="9.42578125" style="11" customWidth="1"/>
    <col min="5" max="5" width="9.85546875" style="11" customWidth="1"/>
    <col min="6" max="6" width="9.7109375" style="11" customWidth="1"/>
    <col min="7" max="7" width="10" style="11" customWidth="1"/>
    <col min="8" max="8" width="9.140625" style="11" customWidth="1"/>
    <col min="9" max="9" width="10" style="11" customWidth="1"/>
    <col min="10" max="10" width="8.5703125" style="11" customWidth="1"/>
    <col min="11" max="11" width="9.42578125" style="11" customWidth="1"/>
    <col min="12" max="12" width="8.5703125" style="11" customWidth="1"/>
    <col min="13" max="13" width="9.85546875" style="11" customWidth="1"/>
    <col min="14" max="14" width="8.5703125" style="11" customWidth="1"/>
    <col min="15" max="15" width="14" style="11" customWidth="1"/>
    <col min="16" max="16" width="2.5703125" style="11" customWidth="1"/>
    <col min="17" max="18" width="9" style="11" customWidth="1"/>
    <col min="19" max="19" width="8.5703125" style="11" customWidth="1"/>
    <col min="20" max="16384" width="9.140625" style="11"/>
  </cols>
  <sheetData>
    <row r="1" spans="2:20" ht="12" customHeight="1" x14ac:dyDescent="0.25"/>
    <row r="2" spans="2:20" x14ac:dyDescent="0.25">
      <c r="B2" s="11" t="s">
        <v>440</v>
      </c>
    </row>
    <row r="3" spans="2:20" ht="14.25" customHeight="1" x14ac:dyDescent="0.25">
      <c r="B3" s="27" t="s">
        <v>289</v>
      </c>
    </row>
    <row r="4" spans="2:20" ht="13.5" customHeight="1" thickBot="1" x14ac:dyDescent="0.3">
      <c r="B4" s="27"/>
    </row>
    <row r="5" spans="2:20" ht="34.5" customHeight="1" x14ac:dyDescent="0.25">
      <c r="B5" s="994" t="s">
        <v>95</v>
      </c>
      <c r="C5" s="990" t="s">
        <v>418</v>
      </c>
      <c r="D5" s="991"/>
      <c r="E5" s="990" t="s">
        <v>485</v>
      </c>
      <c r="F5" s="991"/>
      <c r="G5" s="992" t="s">
        <v>486</v>
      </c>
      <c r="H5" s="993"/>
      <c r="I5" s="990" t="s">
        <v>487</v>
      </c>
      <c r="J5" s="991"/>
      <c r="K5" s="990" t="s">
        <v>513</v>
      </c>
      <c r="L5" s="991"/>
      <c r="M5" s="992" t="s">
        <v>514</v>
      </c>
      <c r="N5" s="993"/>
      <c r="O5" s="564" t="s">
        <v>554</v>
      </c>
      <c r="P5" s="354"/>
      <c r="Q5" s="354"/>
    </row>
    <row r="6" spans="2:20" ht="22.5" customHeight="1" thickBot="1" x14ac:dyDescent="0.3">
      <c r="B6" s="995"/>
      <c r="C6" s="565" t="s">
        <v>4</v>
      </c>
      <c r="D6" s="566" t="s">
        <v>347</v>
      </c>
      <c r="E6" s="565" t="s">
        <v>4</v>
      </c>
      <c r="F6" s="566" t="s">
        <v>347</v>
      </c>
      <c r="G6" s="565" t="s">
        <v>4</v>
      </c>
      <c r="H6" s="566" t="s">
        <v>347</v>
      </c>
      <c r="I6" s="565" t="s">
        <v>4</v>
      </c>
      <c r="J6" s="566" t="s">
        <v>347</v>
      </c>
      <c r="K6" s="565" t="s">
        <v>4</v>
      </c>
      <c r="L6" s="566" t="s">
        <v>347</v>
      </c>
      <c r="M6" s="565" t="s">
        <v>4</v>
      </c>
      <c r="N6" s="566" t="s">
        <v>347</v>
      </c>
      <c r="O6" s="567" t="s">
        <v>4</v>
      </c>
      <c r="P6" s="334"/>
      <c r="Q6" s="334"/>
    </row>
    <row r="7" spans="2:20" ht="42" customHeight="1" thickBot="1" x14ac:dyDescent="0.3">
      <c r="B7" s="305" t="s">
        <v>106</v>
      </c>
      <c r="C7" s="43">
        <v>41690</v>
      </c>
      <c r="D7" s="44">
        <f>SUM(D9:D10)</f>
        <v>100</v>
      </c>
      <c r="E7" s="43">
        <v>45206</v>
      </c>
      <c r="F7" s="44">
        <f>SUM(F9:F10)</f>
        <v>100</v>
      </c>
      <c r="G7" s="43">
        <f>SUM(C7,E7)</f>
        <v>86896</v>
      </c>
      <c r="H7" s="44">
        <f>SUM(H9:H10)</f>
        <v>100</v>
      </c>
      <c r="I7" s="43">
        <v>40714</v>
      </c>
      <c r="J7" s="44">
        <f>SUM(J9:J10)</f>
        <v>100</v>
      </c>
      <c r="K7" s="43">
        <v>43690</v>
      </c>
      <c r="L7" s="44">
        <f>SUM(L9:L10)</f>
        <v>100</v>
      </c>
      <c r="M7" s="43">
        <f>SUM(I7+K7)</f>
        <v>84404</v>
      </c>
      <c r="N7" s="44">
        <f>SUM(N9:N10)</f>
        <v>100</v>
      </c>
      <c r="O7" s="203">
        <f>SUM(M7)-G7</f>
        <v>-2492</v>
      </c>
      <c r="P7" s="351"/>
      <c r="Q7" s="351">
        <f>SUM(C7)+E7</f>
        <v>86896</v>
      </c>
    </row>
    <row r="8" spans="2:20" ht="30.75" customHeight="1" thickBot="1" x14ac:dyDescent="0.3">
      <c r="B8" s="315" t="s">
        <v>107</v>
      </c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7"/>
      <c r="P8" s="352"/>
      <c r="Q8" s="352"/>
    </row>
    <row r="9" spans="2:20" ht="24" customHeight="1" x14ac:dyDescent="0.25">
      <c r="B9" s="306" t="s">
        <v>72</v>
      </c>
      <c r="C9" s="36">
        <v>7810</v>
      </c>
      <c r="D9" s="37">
        <f>SUM(C9)/C7*100</f>
        <v>18.733509234828496</v>
      </c>
      <c r="E9" s="36">
        <v>9765</v>
      </c>
      <c r="F9" s="37">
        <f>SUM(E9)/E7*100</f>
        <v>21.60111489625271</v>
      </c>
      <c r="G9" s="36">
        <f t="shared" ref="G9" si="0">SUM(C9,E9)</f>
        <v>17575</v>
      </c>
      <c r="H9" s="37">
        <f>SUM(G9)/G7*100</f>
        <v>20.225326827471921</v>
      </c>
      <c r="I9" s="36">
        <v>7694</v>
      </c>
      <c r="J9" s="37">
        <f>SUM(I9)/I7*100</f>
        <v>18.89767647492263</v>
      </c>
      <c r="K9" s="36">
        <v>10599</v>
      </c>
      <c r="L9" s="37">
        <f>SUM(K9)/K7*100</f>
        <v>24.259555962462805</v>
      </c>
      <c r="M9" s="36">
        <f t="shared" ref="M9:M16" si="1">SUM(I9+K9)</f>
        <v>18293</v>
      </c>
      <c r="N9" s="37">
        <f>SUM(M9)/M7*100</f>
        <v>21.673143452916925</v>
      </c>
      <c r="O9" s="38">
        <f>SUM(M9)-G9</f>
        <v>718</v>
      </c>
      <c r="P9" s="335"/>
      <c r="Q9" s="335">
        <f>SUM(G9)+M9</f>
        <v>35868</v>
      </c>
      <c r="R9" s="285">
        <f>SUM(O9/G9*100)</f>
        <v>4.0853485064011386</v>
      </c>
      <c r="S9" s="337">
        <f>SUM(G9:G10)</f>
        <v>86896</v>
      </c>
    </row>
    <row r="10" spans="2:20" ht="24" customHeight="1" thickBot="1" x14ac:dyDescent="0.3">
      <c r="B10" s="307" t="s">
        <v>73</v>
      </c>
      <c r="C10" s="18">
        <v>33880</v>
      </c>
      <c r="D10" s="26">
        <f>SUM(C10)/C7*100</f>
        <v>81.266490765171511</v>
      </c>
      <c r="E10" s="18">
        <v>35441</v>
      </c>
      <c r="F10" s="26">
        <f>SUM(E10)/E7*100</f>
        <v>78.39888510374729</v>
      </c>
      <c r="G10" s="18">
        <f>SUM(C10,E10)</f>
        <v>69321</v>
      </c>
      <c r="H10" s="26">
        <f>SUM(G10)/G7*100</f>
        <v>79.774673172528082</v>
      </c>
      <c r="I10" s="18">
        <v>33020</v>
      </c>
      <c r="J10" s="26">
        <f>SUM(I10)/I7*100</f>
        <v>81.102323525077367</v>
      </c>
      <c r="K10" s="18">
        <v>33091</v>
      </c>
      <c r="L10" s="26">
        <f>SUM(K10)/K7*100</f>
        <v>75.740444037537188</v>
      </c>
      <c r="M10" s="18">
        <f>SUM(I10+K10)</f>
        <v>66111</v>
      </c>
      <c r="N10" s="26">
        <f>SUM(M10)/M7*100</f>
        <v>78.326856547083082</v>
      </c>
      <c r="O10" s="35">
        <f>SUM(M10)-G10</f>
        <v>-3210</v>
      </c>
      <c r="P10" s="335"/>
      <c r="Q10" s="335">
        <f>SUM(G10)+M10</f>
        <v>135432</v>
      </c>
      <c r="R10" s="285">
        <f>SUM(O10/G10*100)</f>
        <v>-4.6306314103951181</v>
      </c>
      <c r="S10" s="337">
        <f>SUM(O9:O10)</f>
        <v>-2492</v>
      </c>
      <c r="T10" s="48"/>
    </row>
    <row r="11" spans="2:20" ht="21.75" customHeight="1" thickBot="1" x14ac:dyDescent="0.3">
      <c r="B11" s="338" t="s">
        <v>108</v>
      </c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40"/>
      <c r="P11" s="353"/>
      <c r="Q11" s="353"/>
      <c r="R11" s="143"/>
      <c r="S11" s="143"/>
    </row>
    <row r="12" spans="2:20" ht="28.5" customHeight="1" x14ac:dyDescent="0.25">
      <c r="B12" s="308" t="s">
        <v>74</v>
      </c>
      <c r="C12" s="39">
        <v>27</v>
      </c>
      <c r="D12" s="40">
        <f>SUM(C12)/C7*100</f>
        <v>6.4763732309906452E-2</v>
      </c>
      <c r="E12" s="39">
        <v>56</v>
      </c>
      <c r="F12" s="40">
        <f>SUM(E12)/E7*100</f>
        <v>0.12387736141220192</v>
      </c>
      <c r="G12" s="39">
        <f t="shared" ref="G12:G16" si="2">SUM(C12,E12)</f>
        <v>83</v>
      </c>
      <c r="H12" s="40">
        <f>SUM(G12)/G7*100</f>
        <v>9.5516479469710924E-2</v>
      </c>
      <c r="I12" s="39">
        <v>36</v>
      </c>
      <c r="J12" s="40">
        <f>SUM(I12)/I7*100</f>
        <v>8.8421673134548309E-2</v>
      </c>
      <c r="K12" s="39">
        <v>36</v>
      </c>
      <c r="L12" s="40">
        <f>SUM(K12)/K7*100</f>
        <v>8.2398718242160676E-2</v>
      </c>
      <c r="M12" s="39">
        <f t="shared" si="1"/>
        <v>72</v>
      </c>
      <c r="N12" s="40">
        <f>SUM(M12)/M7*100</f>
        <v>8.5304014027771199E-2</v>
      </c>
      <c r="O12" s="41">
        <f>SUM(M12)-G12</f>
        <v>-11</v>
      </c>
      <c r="P12" s="335"/>
      <c r="Q12" s="335">
        <f>SUM(G12)+M12</f>
        <v>155</v>
      </c>
      <c r="R12" s="337">
        <f>SUM(O12/G12*100)</f>
        <v>-13.253012048192772</v>
      </c>
      <c r="S12" s="337">
        <f>SUM(C12:C16)</f>
        <v>2420</v>
      </c>
    </row>
    <row r="13" spans="2:20" ht="26.25" customHeight="1" x14ac:dyDescent="0.25">
      <c r="B13" s="309" t="s">
        <v>75</v>
      </c>
      <c r="C13" s="13">
        <v>172</v>
      </c>
      <c r="D13" s="25">
        <f>SUM(C13)/C7*100</f>
        <v>0.41256896138162624</v>
      </c>
      <c r="E13" s="13">
        <v>186</v>
      </c>
      <c r="F13" s="25">
        <f>SUM(E13)/E7*100</f>
        <v>0.41144980754767069</v>
      </c>
      <c r="G13" s="13">
        <f t="shared" si="2"/>
        <v>358</v>
      </c>
      <c r="H13" s="25">
        <f>SUM(G13)/G7*100</f>
        <v>0.41198674277296998</v>
      </c>
      <c r="I13" s="13">
        <v>76</v>
      </c>
      <c r="J13" s="25">
        <f>SUM(I13)/I7*100</f>
        <v>0.18666797661737977</v>
      </c>
      <c r="K13" s="13">
        <v>143</v>
      </c>
      <c r="L13" s="25">
        <f>SUM(K13)/K7*100</f>
        <v>0.32730601968413825</v>
      </c>
      <c r="M13" s="13">
        <f t="shared" si="1"/>
        <v>219</v>
      </c>
      <c r="N13" s="25">
        <f>SUM(M13)/M7*100</f>
        <v>0.25946637600113737</v>
      </c>
      <c r="O13" s="32">
        <f>SUM(M13)-G13</f>
        <v>-139</v>
      </c>
      <c r="P13" s="335"/>
      <c r="Q13" s="335">
        <f>SUM(G13)+M13</f>
        <v>577</v>
      </c>
      <c r="R13" s="285">
        <f>SUM(O13/G13*100)</f>
        <v>-38.826815642458101</v>
      </c>
      <c r="S13" s="285">
        <f>SUM(S12/C7)*100</f>
        <v>5.8047493403693933</v>
      </c>
    </row>
    <row r="14" spans="2:20" ht="27.75" customHeight="1" x14ac:dyDescent="0.25">
      <c r="B14" s="310" t="s">
        <v>76</v>
      </c>
      <c r="C14" s="30">
        <v>1271</v>
      </c>
      <c r="D14" s="31">
        <f>SUM(C14)/C7*100</f>
        <v>3.048692732070041</v>
      </c>
      <c r="E14" s="30">
        <v>3229</v>
      </c>
      <c r="F14" s="31">
        <f>SUM(E14)/E7*100</f>
        <v>7.1428571428571423</v>
      </c>
      <c r="G14" s="30">
        <f t="shared" si="2"/>
        <v>4500</v>
      </c>
      <c r="H14" s="31">
        <f>SUM(G14)/G7*100</f>
        <v>5.1786043085987847</v>
      </c>
      <c r="I14" s="30">
        <v>1381</v>
      </c>
      <c r="J14" s="31">
        <f>SUM(I14)/I7*100</f>
        <v>3.3919536277447557</v>
      </c>
      <c r="K14" s="30">
        <v>2961</v>
      </c>
      <c r="L14" s="31">
        <f>SUM(K14)/K7*100</f>
        <v>6.7772945754177156</v>
      </c>
      <c r="M14" s="30">
        <f t="shared" si="1"/>
        <v>4342</v>
      </c>
      <c r="N14" s="31">
        <f>SUM(M14)/M7*100</f>
        <v>5.1443059570636462</v>
      </c>
      <c r="O14" s="34">
        <f>SUM(M14)-G14</f>
        <v>-158</v>
      </c>
      <c r="P14" s="335"/>
      <c r="Q14" s="335">
        <f>SUM(G14)+M14</f>
        <v>8842</v>
      </c>
      <c r="R14" s="342">
        <f>SUM(O14/G14*100)</f>
        <v>-3.5111111111111115</v>
      </c>
      <c r="S14" s="342">
        <f>SUM(D12:D16)</f>
        <v>5.8047493403693933</v>
      </c>
    </row>
    <row r="15" spans="2:20" ht="31.5" customHeight="1" x14ac:dyDescent="0.25">
      <c r="B15" s="309" t="s">
        <v>77</v>
      </c>
      <c r="C15" s="13">
        <v>833</v>
      </c>
      <c r="D15" s="25">
        <f>SUM(C15)/C7*100</f>
        <v>1.9980810745982249</v>
      </c>
      <c r="E15" s="13">
        <v>713</v>
      </c>
      <c r="F15" s="25">
        <f>SUM(E15)/E7*100</f>
        <v>1.577224262266071</v>
      </c>
      <c r="G15" s="13">
        <f t="shared" si="2"/>
        <v>1546</v>
      </c>
      <c r="H15" s="25">
        <f>SUM(G15)/G7*100</f>
        <v>1.7791382802430491</v>
      </c>
      <c r="I15" s="13">
        <v>735</v>
      </c>
      <c r="J15" s="25">
        <f>SUM(I15)/I7*100</f>
        <v>1.8052758264970281</v>
      </c>
      <c r="K15" s="13">
        <v>672</v>
      </c>
      <c r="L15" s="25">
        <f>SUM(K15)/K7*100</f>
        <v>1.5381094071869994</v>
      </c>
      <c r="M15" s="13">
        <f t="shared" si="1"/>
        <v>1407</v>
      </c>
      <c r="N15" s="25">
        <f>SUM(M15)/M7*100</f>
        <v>1.6669826074593621</v>
      </c>
      <c r="O15" s="32">
        <f>SUM(M15)-G15</f>
        <v>-139</v>
      </c>
      <c r="P15" s="335"/>
      <c r="Q15" s="335">
        <f>SUM(G15)+M15</f>
        <v>2953</v>
      </c>
    </row>
    <row r="16" spans="2:20" ht="30.75" thickBot="1" x14ac:dyDescent="0.3">
      <c r="B16" s="311" t="s">
        <v>109</v>
      </c>
      <c r="C16" s="18">
        <v>117</v>
      </c>
      <c r="D16" s="26">
        <f>SUM(C16)/C7*100</f>
        <v>0.28064284000959461</v>
      </c>
      <c r="E16" s="18">
        <v>344</v>
      </c>
      <c r="F16" s="26">
        <f>SUM(E16)/E7*100</f>
        <v>0.7609609343892404</v>
      </c>
      <c r="G16" s="18">
        <f t="shared" si="2"/>
        <v>461</v>
      </c>
      <c r="H16" s="26">
        <f>SUM(G16)/G7*100</f>
        <v>0.5305192413920089</v>
      </c>
      <c r="I16" s="18">
        <v>112</v>
      </c>
      <c r="J16" s="26">
        <f>SUM(I16)/I7*100</f>
        <v>0.27508964975192812</v>
      </c>
      <c r="K16" s="18">
        <v>345</v>
      </c>
      <c r="L16" s="26">
        <f>SUM(K16)/K7*100</f>
        <v>0.7896543831540398</v>
      </c>
      <c r="M16" s="18">
        <f t="shared" si="1"/>
        <v>457</v>
      </c>
      <c r="N16" s="26">
        <f>SUM(M16)/M7*100</f>
        <v>0.5414435334818255</v>
      </c>
      <c r="O16" s="35">
        <f>SUM(M16)-G16</f>
        <v>-4</v>
      </c>
      <c r="P16" s="335"/>
      <c r="Q16" s="335">
        <f>SUM(G16)+M16</f>
        <v>918</v>
      </c>
    </row>
    <row r="18" spans="3:17" x14ac:dyDescent="0.25">
      <c r="C18" s="337">
        <f t="shared" ref="C18:O18" si="3">SUM(C12:C16)</f>
        <v>2420</v>
      </c>
      <c r="D18" s="342">
        <f t="shared" si="3"/>
        <v>5.8047493403693933</v>
      </c>
      <c r="E18" s="337">
        <f t="shared" si="3"/>
        <v>4528</v>
      </c>
      <c r="F18" s="342">
        <f t="shared" si="3"/>
        <v>10.016369508472327</v>
      </c>
      <c r="G18" s="337">
        <f t="shared" si="3"/>
        <v>6948</v>
      </c>
      <c r="H18" s="342">
        <f t="shared" si="3"/>
        <v>7.9957650524765231</v>
      </c>
      <c r="I18" s="337">
        <f t="shared" si="3"/>
        <v>2340</v>
      </c>
      <c r="J18" s="285">
        <f t="shared" si="3"/>
        <v>5.7474087537456402</v>
      </c>
      <c r="K18" s="285">
        <f t="shared" si="3"/>
        <v>4157</v>
      </c>
      <c r="L18" s="285">
        <f t="shared" si="3"/>
        <v>9.5147631036850555</v>
      </c>
      <c r="M18" s="924">
        <f>SUM(M12:M16)</f>
        <v>6497</v>
      </c>
      <c r="N18" s="285">
        <f>SUM(N12:N16)</f>
        <v>7.6975024880337415</v>
      </c>
      <c r="O18" s="337">
        <f t="shared" si="3"/>
        <v>-451</v>
      </c>
      <c r="P18" s="48"/>
      <c r="Q18" s="337">
        <f>SUM(Q12:Q16)</f>
        <v>13445</v>
      </c>
    </row>
    <row r="19" spans="3:17" x14ac:dyDescent="0.25">
      <c r="C19" s="136"/>
      <c r="D19" s="136"/>
      <c r="E19" s="337"/>
      <c r="F19" s="342"/>
      <c r="G19" s="136"/>
      <c r="H19" s="136"/>
      <c r="I19" s="342"/>
      <c r="J19" s="342"/>
      <c r="K19" s="342"/>
      <c r="L19" s="342"/>
      <c r="M19" s="342"/>
      <c r="N19" s="342"/>
      <c r="O19" s="136"/>
      <c r="Q19" s="136"/>
    </row>
    <row r="20" spans="3:17" x14ac:dyDescent="0.25">
      <c r="C20" s="337">
        <f>SUM(C9:C10)</f>
        <v>41690</v>
      </c>
      <c r="D20" s="337">
        <f>SUM(D9:D10)</f>
        <v>100</v>
      </c>
      <c r="E20" s="337">
        <f t="shared" ref="E20:J20" si="4">SUM(E9:E10)</f>
        <v>45206</v>
      </c>
      <c r="F20" s="337">
        <f t="shared" si="4"/>
        <v>100</v>
      </c>
      <c r="G20" s="337">
        <f t="shared" si="4"/>
        <v>86896</v>
      </c>
      <c r="H20" s="337">
        <f t="shared" si="4"/>
        <v>100</v>
      </c>
      <c r="I20" s="337">
        <f t="shared" si="4"/>
        <v>40714</v>
      </c>
      <c r="J20" s="337">
        <f t="shared" si="4"/>
        <v>100</v>
      </c>
      <c r="K20" s="337">
        <f t="shared" ref="K20:M20" si="5">SUM(K9:K10)</f>
        <v>43690</v>
      </c>
      <c r="L20" s="337">
        <f t="shared" si="5"/>
        <v>100</v>
      </c>
      <c r="M20" s="337">
        <f t="shared" si="5"/>
        <v>84404</v>
      </c>
      <c r="N20" s="337">
        <f>SUM(N9:N10)</f>
        <v>100</v>
      </c>
      <c r="O20" s="337">
        <f>SUM(O9:O10)</f>
        <v>-2492</v>
      </c>
      <c r="Q20" s="337">
        <f>SUM(Q9:Q10)</f>
        <v>171300</v>
      </c>
    </row>
    <row r="21" spans="3:17" x14ac:dyDescent="0.25">
      <c r="C21" s="337"/>
      <c r="E21" s="48"/>
      <c r="F21" s="283"/>
      <c r="G21" s="283"/>
      <c r="H21" s="283"/>
      <c r="I21" s="283"/>
      <c r="J21" s="283"/>
      <c r="K21" s="283"/>
      <c r="L21" s="283"/>
      <c r="M21" s="283"/>
      <c r="N21" s="283"/>
    </row>
  </sheetData>
  <mergeCells count="7">
    <mergeCell ref="K5:L5"/>
    <mergeCell ref="M5:N5"/>
    <mergeCell ref="B5:B6"/>
    <mergeCell ref="E5:F5"/>
    <mergeCell ref="C5:D5"/>
    <mergeCell ref="I5:J5"/>
    <mergeCell ref="G5:H5"/>
  </mergeCells>
  <printOptions horizontalCentered="1"/>
  <pageMargins left="0" right="0" top="1.3779527559055118" bottom="0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B1:L34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22.28515625" style="2" customWidth="1"/>
    <col min="3" max="3" width="11.5703125" style="2" customWidth="1"/>
    <col min="4" max="4" width="11.85546875" style="2" customWidth="1"/>
    <col min="5" max="5" width="12.42578125" style="2" customWidth="1"/>
    <col min="6" max="6" width="12.140625" style="2" customWidth="1"/>
    <col min="7" max="7" width="12.42578125" style="2" customWidth="1"/>
    <col min="8" max="8" width="12" style="2" customWidth="1"/>
    <col min="9" max="9" width="10.85546875" style="2" customWidth="1"/>
    <col min="10" max="10" width="11.42578125" style="2" customWidth="1"/>
    <col min="11" max="11" width="2.42578125" style="2" customWidth="1"/>
    <col min="12" max="12" width="7.85546875" style="2" customWidth="1"/>
    <col min="13" max="13" width="10.28515625" style="2" customWidth="1"/>
    <col min="14" max="16384" width="9.140625" style="2"/>
  </cols>
  <sheetData>
    <row r="1" spans="2:12" x14ac:dyDescent="0.25">
      <c r="B1" s="11" t="s">
        <v>441</v>
      </c>
      <c r="C1" s="11"/>
      <c r="D1" s="11"/>
      <c r="E1" s="11"/>
      <c r="F1" s="11"/>
      <c r="G1" s="11"/>
      <c r="H1" s="11"/>
      <c r="I1" s="11"/>
      <c r="J1" s="11"/>
    </row>
    <row r="2" spans="2:12" x14ac:dyDescent="0.25">
      <c r="B2" s="11" t="s">
        <v>290</v>
      </c>
      <c r="C2" s="11"/>
      <c r="D2" s="11"/>
      <c r="E2" s="11"/>
      <c r="F2" s="11"/>
      <c r="G2" s="11"/>
      <c r="H2" s="11"/>
      <c r="I2" s="11"/>
      <c r="J2" s="11"/>
    </row>
    <row r="3" spans="2:12" ht="6" customHeight="1" thickBot="1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2:12" ht="15.75" thickBot="1" x14ac:dyDescent="0.3">
      <c r="B4" s="988" t="s">
        <v>100</v>
      </c>
      <c r="C4" s="997" t="s">
        <v>110</v>
      </c>
      <c r="D4" s="998"/>
      <c r="E4" s="998"/>
      <c r="F4" s="998"/>
      <c r="G4" s="998"/>
      <c r="H4" s="998"/>
      <c r="I4" s="998"/>
      <c r="J4" s="999"/>
    </row>
    <row r="5" spans="2:12" ht="26.25" customHeight="1" x14ac:dyDescent="0.25">
      <c r="B5" s="996"/>
      <c r="C5" s="846"/>
      <c r="D5" s="864"/>
      <c r="E5" s="876"/>
      <c r="F5" s="846"/>
      <c r="G5" s="864"/>
      <c r="H5" s="876"/>
      <c r="I5" s="1000" t="s">
        <v>515</v>
      </c>
      <c r="J5" s="1001"/>
    </row>
    <row r="6" spans="2:12" ht="35.25" customHeight="1" x14ac:dyDescent="0.25">
      <c r="B6" s="996"/>
      <c r="C6" s="847" t="s">
        <v>420</v>
      </c>
      <c r="D6" s="865" t="s">
        <v>488</v>
      </c>
      <c r="E6" s="877" t="s">
        <v>486</v>
      </c>
      <c r="F6" s="847" t="s">
        <v>489</v>
      </c>
      <c r="G6" s="865" t="s">
        <v>516</v>
      </c>
      <c r="H6" s="877" t="s">
        <v>514</v>
      </c>
      <c r="I6" s="1002" t="s">
        <v>97</v>
      </c>
      <c r="J6" s="1004" t="s">
        <v>347</v>
      </c>
    </row>
    <row r="7" spans="2:12" ht="10.5" customHeight="1" thickBot="1" x14ac:dyDescent="0.3">
      <c r="B7" s="989"/>
      <c r="C7" s="848"/>
      <c r="D7" s="866"/>
      <c r="E7" s="726"/>
      <c r="F7" s="848"/>
      <c r="G7" s="866"/>
      <c r="H7" s="726"/>
      <c r="I7" s="1003"/>
      <c r="J7" s="1005"/>
    </row>
    <row r="8" spans="2:12" ht="21" customHeight="1" thickBot="1" x14ac:dyDescent="0.3">
      <c r="B8" s="164" t="s">
        <v>13</v>
      </c>
      <c r="C8" s="78">
        <f>SUM(C9:C33)</f>
        <v>41690</v>
      </c>
      <c r="D8" s="867">
        <f>SUM(D9:D33)</f>
        <v>45206</v>
      </c>
      <c r="E8" s="872">
        <f>SUM(C8:D8)</f>
        <v>86896</v>
      </c>
      <c r="F8" s="78">
        <f>SUM(F9:F33)</f>
        <v>40714</v>
      </c>
      <c r="G8" s="867">
        <f>SUM(G9:G33)</f>
        <v>43690</v>
      </c>
      <c r="H8" s="872">
        <f>SUM(H9:H33)</f>
        <v>84404</v>
      </c>
      <c r="I8" s="376">
        <f>SUM(H8)-E8</f>
        <v>-2492</v>
      </c>
      <c r="J8" s="253">
        <f t="shared" ref="J8:J33" si="0">SUM(I8)/C8*100</f>
        <v>-5.9774526265291437</v>
      </c>
      <c r="L8" s="464"/>
    </row>
    <row r="9" spans="2:12" ht="18" customHeight="1" x14ac:dyDescent="0.25">
      <c r="B9" s="174" t="s">
        <v>14</v>
      </c>
      <c r="C9" s="178">
        <v>601</v>
      </c>
      <c r="D9" s="868">
        <v>654</v>
      </c>
      <c r="E9" s="873">
        <f>SUM(C9:D9)</f>
        <v>1255</v>
      </c>
      <c r="F9" s="178">
        <v>541</v>
      </c>
      <c r="G9" s="868">
        <v>589</v>
      </c>
      <c r="H9" s="873">
        <f>SUM(F9:G9)</f>
        <v>1130</v>
      </c>
      <c r="I9" s="375">
        <f t="shared" ref="I9:I33" si="1">SUM(H9)-E9</f>
        <v>-125</v>
      </c>
      <c r="J9" s="54">
        <f t="shared" si="0"/>
        <v>-20.798668885191347</v>
      </c>
      <c r="L9" s="464"/>
    </row>
    <row r="10" spans="2:12" ht="15.75" customHeight="1" x14ac:dyDescent="0.25">
      <c r="B10" s="175" t="s">
        <v>15</v>
      </c>
      <c r="C10" s="50">
        <v>1749</v>
      </c>
      <c r="D10" s="869">
        <v>2056</v>
      </c>
      <c r="E10" s="318">
        <f t="shared" ref="E10:E31" si="2">SUM(C10:D10)</f>
        <v>3805</v>
      </c>
      <c r="F10" s="50">
        <v>1604</v>
      </c>
      <c r="G10" s="869">
        <v>1858</v>
      </c>
      <c r="H10" s="318">
        <f>SUM(F10:G10)</f>
        <v>3462</v>
      </c>
      <c r="I10" s="6">
        <f t="shared" si="1"/>
        <v>-343</v>
      </c>
      <c r="J10" s="7">
        <f t="shared" si="0"/>
        <v>-19.611206403659235</v>
      </c>
      <c r="L10" s="464"/>
    </row>
    <row r="11" spans="2:12" x14ac:dyDescent="0.25">
      <c r="B11" s="175" t="s">
        <v>16</v>
      </c>
      <c r="C11" s="50">
        <v>2006</v>
      </c>
      <c r="D11" s="869">
        <v>2216</v>
      </c>
      <c r="E11" s="318">
        <f t="shared" si="2"/>
        <v>4222</v>
      </c>
      <c r="F11" s="50">
        <v>2037</v>
      </c>
      <c r="G11" s="869">
        <v>2291</v>
      </c>
      <c r="H11" s="318">
        <f t="shared" ref="H11:H33" si="3">SUM(F11:G11)</f>
        <v>4328</v>
      </c>
      <c r="I11" s="6">
        <f t="shared" si="1"/>
        <v>106</v>
      </c>
      <c r="J11" s="7">
        <f t="shared" si="0"/>
        <v>5.2841475573280157</v>
      </c>
      <c r="L11" s="464"/>
    </row>
    <row r="12" spans="2:12" x14ac:dyDescent="0.25">
      <c r="B12" s="175" t="s">
        <v>17</v>
      </c>
      <c r="C12" s="50">
        <v>2807</v>
      </c>
      <c r="D12" s="869">
        <v>2944</v>
      </c>
      <c r="E12" s="318">
        <f t="shared" si="2"/>
        <v>5751</v>
      </c>
      <c r="F12" s="50">
        <v>2794</v>
      </c>
      <c r="G12" s="869">
        <v>2712</v>
      </c>
      <c r="H12" s="318">
        <f t="shared" si="3"/>
        <v>5506</v>
      </c>
      <c r="I12" s="6">
        <f t="shared" si="1"/>
        <v>-245</v>
      </c>
      <c r="J12" s="7">
        <f t="shared" si="0"/>
        <v>-8.7281795511221958</v>
      </c>
      <c r="L12" s="464"/>
    </row>
    <row r="13" spans="2:12" x14ac:dyDescent="0.25">
      <c r="B13" s="175" t="s">
        <v>18</v>
      </c>
      <c r="C13" s="50">
        <v>2559</v>
      </c>
      <c r="D13" s="869">
        <v>2946</v>
      </c>
      <c r="E13" s="318">
        <f t="shared" si="2"/>
        <v>5505</v>
      </c>
      <c r="F13" s="50">
        <v>2527</v>
      </c>
      <c r="G13" s="869">
        <v>2825</v>
      </c>
      <c r="H13" s="318">
        <f t="shared" si="3"/>
        <v>5352</v>
      </c>
      <c r="I13" s="6">
        <f t="shared" si="1"/>
        <v>-153</v>
      </c>
      <c r="J13" s="7">
        <f t="shared" si="0"/>
        <v>-5.9788980070339974</v>
      </c>
      <c r="L13" s="464"/>
    </row>
    <row r="14" spans="2:12" x14ac:dyDescent="0.25">
      <c r="B14" s="175" t="s">
        <v>19</v>
      </c>
      <c r="C14" s="50">
        <v>1102</v>
      </c>
      <c r="D14" s="869">
        <v>1169</v>
      </c>
      <c r="E14" s="318">
        <f t="shared" si="2"/>
        <v>2271</v>
      </c>
      <c r="F14" s="50">
        <v>1033</v>
      </c>
      <c r="G14" s="869">
        <v>1120</v>
      </c>
      <c r="H14" s="318">
        <f t="shared" si="3"/>
        <v>2153</v>
      </c>
      <c r="I14" s="6">
        <f t="shared" si="1"/>
        <v>-118</v>
      </c>
      <c r="J14" s="7">
        <f t="shared" si="0"/>
        <v>-10.707803992740473</v>
      </c>
      <c r="L14" s="464"/>
    </row>
    <row r="15" spans="2:12" x14ac:dyDescent="0.25">
      <c r="B15" s="175" t="s">
        <v>20</v>
      </c>
      <c r="C15" s="50">
        <v>1780</v>
      </c>
      <c r="D15" s="869">
        <v>1893</v>
      </c>
      <c r="E15" s="318">
        <f t="shared" si="2"/>
        <v>3673</v>
      </c>
      <c r="F15" s="50">
        <v>1763</v>
      </c>
      <c r="G15" s="869">
        <v>1800</v>
      </c>
      <c r="H15" s="318">
        <f t="shared" si="3"/>
        <v>3563</v>
      </c>
      <c r="I15" s="6">
        <f t="shared" si="1"/>
        <v>-110</v>
      </c>
      <c r="J15" s="7">
        <f t="shared" si="0"/>
        <v>-6.179775280898876</v>
      </c>
      <c r="L15" s="464"/>
    </row>
    <row r="16" spans="2:12" x14ac:dyDescent="0.25">
      <c r="B16" s="175" t="s">
        <v>21</v>
      </c>
      <c r="C16" s="50">
        <v>693</v>
      </c>
      <c r="D16" s="869">
        <v>880</v>
      </c>
      <c r="E16" s="318">
        <f t="shared" si="2"/>
        <v>1573</v>
      </c>
      <c r="F16" s="50">
        <v>706</v>
      </c>
      <c r="G16" s="869">
        <v>864</v>
      </c>
      <c r="H16" s="318">
        <f t="shared" si="3"/>
        <v>1570</v>
      </c>
      <c r="I16" s="6">
        <f t="shared" si="1"/>
        <v>-3</v>
      </c>
      <c r="J16" s="7">
        <f t="shared" si="0"/>
        <v>-0.4329004329004329</v>
      </c>
      <c r="L16" s="464"/>
    </row>
    <row r="17" spans="2:12" x14ac:dyDescent="0.25">
      <c r="B17" s="175" t="s">
        <v>22</v>
      </c>
      <c r="C17" s="50">
        <v>1836</v>
      </c>
      <c r="D17" s="869">
        <v>1973</v>
      </c>
      <c r="E17" s="318">
        <f t="shared" si="2"/>
        <v>3809</v>
      </c>
      <c r="F17" s="50">
        <v>1732</v>
      </c>
      <c r="G17" s="869">
        <v>1789</v>
      </c>
      <c r="H17" s="318">
        <f t="shared" si="3"/>
        <v>3521</v>
      </c>
      <c r="I17" s="6">
        <f t="shared" si="1"/>
        <v>-288</v>
      </c>
      <c r="J17" s="7">
        <f t="shared" si="0"/>
        <v>-15.686274509803921</v>
      </c>
      <c r="L17" s="464"/>
    </row>
    <row r="18" spans="2:12" x14ac:dyDescent="0.25">
      <c r="B18" s="175" t="s">
        <v>23</v>
      </c>
      <c r="C18" s="50">
        <v>1153</v>
      </c>
      <c r="D18" s="869">
        <v>1326</v>
      </c>
      <c r="E18" s="318">
        <f t="shared" si="2"/>
        <v>2479</v>
      </c>
      <c r="F18" s="50">
        <v>1095</v>
      </c>
      <c r="G18" s="869">
        <v>1286</v>
      </c>
      <c r="H18" s="318">
        <f t="shared" si="3"/>
        <v>2381</v>
      </c>
      <c r="I18" s="6">
        <f t="shared" si="1"/>
        <v>-98</v>
      </c>
      <c r="J18" s="7">
        <f t="shared" si="0"/>
        <v>-8.4995663486556801</v>
      </c>
      <c r="L18" s="464"/>
    </row>
    <row r="19" spans="2:12" x14ac:dyDescent="0.25">
      <c r="B19" s="175" t="s">
        <v>24</v>
      </c>
      <c r="C19" s="50">
        <v>1773</v>
      </c>
      <c r="D19" s="869">
        <v>1880</v>
      </c>
      <c r="E19" s="318">
        <f t="shared" si="2"/>
        <v>3653</v>
      </c>
      <c r="F19" s="50">
        <v>1699</v>
      </c>
      <c r="G19" s="869">
        <v>1780</v>
      </c>
      <c r="H19" s="318">
        <f t="shared" si="3"/>
        <v>3479</v>
      </c>
      <c r="I19" s="6">
        <f t="shared" si="1"/>
        <v>-174</v>
      </c>
      <c r="J19" s="7">
        <f t="shared" si="0"/>
        <v>-9.8138747884940774</v>
      </c>
      <c r="L19" s="464"/>
    </row>
    <row r="20" spans="2:12" x14ac:dyDescent="0.25">
      <c r="B20" s="175" t="s">
        <v>25</v>
      </c>
      <c r="C20" s="50">
        <v>2210</v>
      </c>
      <c r="D20" s="869">
        <v>2526</v>
      </c>
      <c r="E20" s="318">
        <f t="shared" si="2"/>
        <v>4736</v>
      </c>
      <c r="F20" s="50">
        <v>2221</v>
      </c>
      <c r="G20" s="869">
        <v>2663</v>
      </c>
      <c r="H20" s="318">
        <f t="shared" si="3"/>
        <v>4884</v>
      </c>
      <c r="I20" s="6">
        <f t="shared" si="1"/>
        <v>148</v>
      </c>
      <c r="J20" s="7">
        <f t="shared" si="0"/>
        <v>6.6968325791855206</v>
      </c>
      <c r="L20" s="464"/>
    </row>
    <row r="21" spans="2:12" x14ac:dyDescent="0.25">
      <c r="B21" s="175" t="s">
        <v>26</v>
      </c>
      <c r="C21" s="50">
        <v>1684</v>
      </c>
      <c r="D21" s="869">
        <v>1741</v>
      </c>
      <c r="E21" s="318">
        <f t="shared" si="2"/>
        <v>3425</v>
      </c>
      <c r="F21" s="50">
        <v>1518</v>
      </c>
      <c r="G21" s="869">
        <v>1449</v>
      </c>
      <c r="H21" s="318">
        <f t="shared" si="3"/>
        <v>2967</v>
      </c>
      <c r="I21" s="6">
        <f t="shared" si="1"/>
        <v>-458</v>
      </c>
      <c r="J21" s="7">
        <f t="shared" si="0"/>
        <v>-27.197149643705465</v>
      </c>
      <c r="L21" s="464"/>
    </row>
    <row r="22" spans="2:12" x14ac:dyDescent="0.25">
      <c r="B22" s="176" t="s">
        <v>27</v>
      </c>
      <c r="C22" s="51">
        <v>1631</v>
      </c>
      <c r="D22" s="870">
        <v>1823</v>
      </c>
      <c r="E22" s="874">
        <f t="shared" si="2"/>
        <v>3454</v>
      </c>
      <c r="F22" s="51">
        <v>1570</v>
      </c>
      <c r="G22" s="870">
        <v>1593</v>
      </c>
      <c r="H22" s="874">
        <f t="shared" si="3"/>
        <v>3163</v>
      </c>
      <c r="I22" s="6">
        <f t="shared" si="1"/>
        <v>-291</v>
      </c>
      <c r="J22" s="7">
        <f t="shared" si="0"/>
        <v>-17.841814837522993</v>
      </c>
      <c r="L22" s="464"/>
    </row>
    <row r="23" spans="2:12" x14ac:dyDescent="0.25">
      <c r="B23" s="176" t="s">
        <v>28</v>
      </c>
      <c r="C23" s="51">
        <v>2142</v>
      </c>
      <c r="D23" s="870">
        <v>2369</v>
      </c>
      <c r="E23" s="874">
        <f t="shared" si="2"/>
        <v>4511</v>
      </c>
      <c r="F23" s="51">
        <v>2132</v>
      </c>
      <c r="G23" s="870">
        <v>2102</v>
      </c>
      <c r="H23" s="874">
        <f>SUM(F23:G23)</f>
        <v>4234</v>
      </c>
      <c r="I23" s="6">
        <f t="shared" si="1"/>
        <v>-277</v>
      </c>
      <c r="J23" s="7">
        <f t="shared" si="0"/>
        <v>-12.93183940242764</v>
      </c>
      <c r="L23" s="464"/>
    </row>
    <row r="24" spans="2:12" x14ac:dyDescent="0.25">
      <c r="B24" s="176" t="s">
        <v>29</v>
      </c>
      <c r="C24" s="51">
        <v>1891</v>
      </c>
      <c r="D24" s="870">
        <v>1956</v>
      </c>
      <c r="E24" s="874">
        <f t="shared" si="2"/>
        <v>3847</v>
      </c>
      <c r="F24" s="51">
        <v>1638</v>
      </c>
      <c r="G24" s="870">
        <v>1824</v>
      </c>
      <c r="H24" s="874">
        <f t="shared" si="3"/>
        <v>3462</v>
      </c>
      <c r="I24" s="6">
        <f t="shared" si="1"/>
        <v>-385</v>
      </c>
      <c r="J24" s="7">
        <f t="shared" si="0"/>
        <v>-20.359598096245374</v>
      </c>
      <c r="L24" s="464"/>
    </row>
    <row r="25" spans="2:12" x14ac:dyDescent="0.25">
      <c r="B25" s="176" t="s">
        <v>30</v>
      </c>
      <c r="C25" s="51">
        <v>2448</v>
      </c>
      <c r="D25" s="870">
        <v>2728</v>
      </c>
      <c r="E25" s="874">
        <f t="shared" si="2"/>
        <v>5176</v>
      </c>
      <c r="F25" s="51">
        <v>2500</v>
      </c>
      <c r="G25" s="870">
        <v>2875</v>
      </c>
      <c r="H25" s="874">
        <f t="shared" si="3"/>
        <v>5375</v>
      </c>
      <c r="I25" s="6">
        <f t="shared" si="1"/>
        <v>199</v>
      </c>
      <c r="J25" s="7">
        <f t="shared" si="0"/>
        <v>8.1290849673202619</v>
      </c>
      <c r="L25" s="464"/>
    </row>
    <row r="26" spans="2:12" x14ac:dyDescent="0.25">
      <c r="B26" s="176" t="s">
        <v>31</v>
      </c>
      <c r="C26" s="51">
        <v>1744</v>
      </c>
      <c r="D26" s="870">
        <v>1774</v>
      </c>
      <c r="E26" s="874">
        <f t="shared" si="2"/>
        <v>3518</v>
      </c>
      <c r="F26" s="51">
        <v>1743</v>
      </c>
      <c r="G26" s="870">
        <v>1820</v>
      </c>
      <c r="H26" s="874">
        <f t="shared" si="3"/>
        <v>3563</v>
      </c>
      <c r="I26" s="6">
        <f t="shared" si="1"/>
        <v>45</v>
      </c>
      <c r="J26" s="7">
        <f t="shared" si="0"/>
        <v>2.5802752293577984</v>
      </c>
      <c r="L26" s="464"/>
    </row>
    <row r="27" spans="2:12" x14ac:dyDescent="0.25">
      <c r="B27" s="176" t="s">
        <v>32</v>
      </c>
      <c r="C27" s="51">
        <v>1621</v>
      </c>
      <c r="D27" s="870">
        <v>1866</v>
      </c>
      <c r="E27" s="874">
        <f t="shared" si="2"/>
        <v>3487</v>
      </c>
      <c r="F27" s="51">
        <v>1709</v>
      </c>
      <c r="G27" s="870">
        <v>1737</v>
      </c>
      <c r="H27" s="874">
        <f t="shared" si="3"/>
        <v>3446</v>
      </c>
      <c r="I27" s="6">
        <f t="shared" si="1"/>
        <v>-41</v>
      </c>
      <c r="J27" s="7">
        <f t="shared" si="0"/>
        <v>-2.5293028994447875</v>
      </c>
      <c r="L27" s="464"/>
    </row>
    <row r="28" spans="2:12" x14ac:dyDescent="0.25">
      <c r="B28" s="176" t="s">
        <v>33</v>
      </c>
      <c r="C28" s="51">
        <v>1767</v>
      </c>
      <c r="D28" s="870">
        <v>1764</v>
      </c>
      <c r="E28" s="874">
        <f>SUM(C28:D28)</f>
        <v>3531</v>
      </c>
      <c r="F28" s="51">
        <v>1597</v>
      </c>
      <c r="G28" s="870">
        <v>1734</v>
      </c>
      <c r="H28" s="874">
        <f t="shared" si="3"/>
        <v>3331</v>
      </c>
      <c r="I28" s="6">
        <f t="shared" si="1"/>
        <v>-200</v>
      </c>
      <c r="J28" s="7">
        <f t="shared" si="0"/>
        <v>-11.318619128466327</v>
      </c>
      <c r="L28" s="464"/>
    </row>
    <row r="29" spans="2:12" x14ac:dyDescent="0.25">
      <c r="B29" s="176" t="s">
        <v>34</v>
      </c>
      <c r="C29" s="51">
        <v>888</v>
      </c>
      <c r="D29" s="870">
        <v>957</v>
      </c>
      <c r="E29" s="874">
        <f t="shared" si="2"/>
        <v>1845</v>
      </c>
      <c r="F29" s="51">
        <v>907</v>
      </c>
      <c r="G29" s="870">
        <v>917</v>
      </c>
      <c r="H29" s="874">
        <f t="shared" si="3"/>
        <v>1824</v>
      </c>
      <c r="I29" s="6">
        <f t="shared" si="1"/>
        <v>-21</v>
      </c>
      <c r="J29" s="7">
        <f t="shared" si="0"/>
        <v>-2.3648648648648649</v>
      </c>
      <c r="L29" s="464"/>
    </row>
    <row r="30" spans="2:12" x14ac:dyDescent="0.25">
      <c r="B30" s="176" t="s">
        <v>35</v>
      </c>
      <c r="C30" s="51">
        <v>733</v>
      </c>
      <c r="D30" s="870">
        <v>696</v>
      </c>
      <c r="E30" s="874">
        <f t="shared" si="2"/>
        <v>1429</v>
      </c>
      <c r="F30" s="51">
        <v>761</v>
      </c>
      <c r="G30" s="870">
        <v>777</v>
      </c>
      <c r="H30" s="874">
        <f t="shared" si="3"/>
        <v>1538</v>
      </c>
      <c r="I30" s="6">
        <f t="shared" si="1"/>
        <v>109</v>
      </c>
      <c r="J30" s="7">
        <f t="shared" si="0"/>
        <v>14.870395634379264</v>
      </c>
      <c r="L30" s="464"/>
    </row>
    <row r="31" spans="2:12" x14ac:dyDescent="0.25">
      <c r="B31" s="176" t="s">
        <v>36</v>
      </c>
      <c r="C31" s="51">
        <v>1248</v>
      </c>
      <c r="D31" s="870">
        <v>1244</v>
      </c>
      <c r="E31" s="874">
        <f t="shared" si="2"/>
        <v>2492</v>
      </c>
      <c r="F31" s="51">
        <v>1246</v>
      </c>
      <c r="G31" s="870">
        <v>1183</v>
      </c>
      <c r="H31" s="874">
        <f t="shared" si="3"/>
        <v>2429</v>
      </c>
      <c r="I31" s="6">
        <f t="shared" si="1"/>
        <v>-63</v>
      </c>
      <c r="J31" s="7">
        <f t="shared" si="0"/>
        <v>-5.0480769230769234</v>
      </c>
      <c r="L31" s="464"/>
    </row>
    <row r="32" spans="2:12" x14ac:dyDescent="0.25">
      <c r="B32" s="176" t="s">
        <v>37</v>
      </c>
      <c r="C32" s="51">
        <v>2834</v>
      </c>
      <c r="D32" s="870">
        <v>3078</v>
      </c>
      <c r="E32" s="874">
        <f>SUM(C32:D32)</f>
        <v>5912</v>
      </c>
      <c r="F32" s="51">
        <v>2901</v>
      </c>
      <c r="G32" s="870">
        <v>3345</v>
      </c>
      <c r="H32" s="874">
        <f t="shared" si="3"/>
        <v>6246</v>
      </c>
      <c r="I32" s="6">
        <f t="shared" si="1"/>
        <v>334</v>
      </c>
      <c r="J32" s="7">
        <f t="shared" si="0"/>
        <v>11.785462244177841</v>
      </c>
      <c r="L32" s="464"/>
    </row>
    <row r="33" spans="2:12" ht="15.75" thickBot="1" x14ac:dyDescent="0.3">
      <c r="B33" s="177" t="s">
        <v>38</v>
      </c>
      <c r="C33" s="52">
        <v>790</v>
      </c>
      <c r="D33" s="871">
        <v>747</v>
      </c>
      <c r="E33" s="875">
        <f>SUM(C33:D33)</f>
        <v>1537</v>
      </c>
      <c r="F33" s="52">
        <v>740</v>
      </c>
      <c r="G33" s="871">
        <v>757</v>
      </c>
      <c r="H33" s="875">
        <f t="shared" si="3"/>
        <v>1497</v>
      </c>
      <c r="I33" s="4">
        <f t="shared" si="1"/>
        <v>-40</v>
      </c>
      <c r="J33" s="8">
        <f t="shared" si="0"/>
        <v>-5.0632911392405067</v>
      </c>
      <c r="L33" s="464"/>
    </row>
    <row r="34" spans="2:12" x14ac:dyDescent="0.25">
      <c r="D34" s="56"/>
      <c r="E34" s="579">
        <f>SUM(E9:E33)</f>
        <v>86896</v>
      </c>
      <c r="F34" s="579"/>
      <c r="G34" s="579"/>
      <c r="H34" s="579">
        <f>SUM(H9:H33)</f>
        <v>84404</v>
      </c>
      <c r="I34" s="579">
        <f>SUM(I9:I33)</f>
        <v>-2492</v>
      </c>
    </row>
  </sheetData>
  <mergeCells count="5">
    <mergeCell ref="B4:B7"/>
    <mergeCell ref="C4:J4"/>
    <mergeCell ref="I5:J5"/>
    <mergeCell ref="I6:I7"/>
    <mergeCell ref="J6:J7"/>
  </mergeCells>
  <printOptions horizontalCentered="1" verticalCentered="1"/>
  <pageMargins left="3.937007874015748E-2" right="3.937007874015748E-2" top="3.937007874015748E-2" bottom="3.937007874015748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B1:J42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60.28515625" style="11" customWidth="1"/>
    <col min="3" max="3" width="10.28515625" style="11" customWidth="1"/>
    <col min="4" max="4" width="9.140625" style="11" customWidth="1"/>
    <col min="5" max="5" width="11" style="11" customWidth="1"/>
    <col min="6" max="6" width="8.7109375" style="11" customWidth="1"/>
    <col min="7" max="7" width="16.140625" style="11" customWidth="1"/>
    <col min="8" max="8" width="9.140625" style="11"/>
    <col min="9" max="9" width="8" style="599" customWidth="1"/>
    <col min="10" max="10" width="9.140625" style="599"/>
    <col min="11" max="16384" width="9.140625" style="11"/>
  </cols>
  <sheetData>
    <row r="1" spans="2:10" x14ac:dyDescent="0.25">
      <c r="B1" s="11" t="s">
        <v>442</v>
      </c>
    </row>
    <row r="2" spans="2:10" ht="15.75" thickBot="1" x14ac:dyDescent="0.3">
      <c r="B2" s="11" t="s">
        <v>443</v>
      </c>
    </row>
    <row r="3" spans="2:10" x14ac:dyDescent="0.25">
      <c r="B3" s="1006" t="s">
        <v>95</v>
      </c>
      <c r="C3" s="994">
        <v>2024</v>
      </c>
      <c r="D3" s="1009"/>
      <c r="E3" s="994">
        <v>2025</v>
      </c>
      <c r="F3" s="1009"/>
      <c r="G3" s="1006" t="s">
        <v>101</v>
      </c>
    </row>
    <row r="4" spans="2:10" x14ac:dyDescent="0.25">
      <c r="B4" s="1007"/>
      <c r="C4" s="1010"/>
      <c r="D4" s="1011"/>
      <c r="E4" s="1010"/>
      <c r="F4" s="1011"/>
      <c r="G4" s="1012"/>
    </row>
    <row r="5" spans="2:10" ht="43.5" customHeight="1" thickBot="1" x14ac:dyDescent="0.3">
      <c r="B5" s="1008"/>
      <c r="C5" s="565" t="s">
        <v>4</v>
      </c>
      <c r="D5" s="580" t="s">
        <v>347</v>
      </c>
      <c r="E5" s="565" t="s">
        <v>4</v>
      </c>
      <c r="F5" s="580" t="s">
        <v>347</v>
      </c>
      <c r="G5" s="567" t="s">
        <v>4</v>
      </c>
    </row>
    <row r="6" spans="2:10" ht="30" customHeight="1" thickBot="1" x14ac:dyDescent="0.3">
      <c r="B6" s="22" t="s">
        <v>111</v>
      </c>
      <c r="C6" s="83">
        <v>87213</v>
      </c>
      <c r="D6" s="84">
        <v>100</v>
      </c>
      <c r="E6" s="83">
        <v>79681</v>
      </c>
      <c r="F6" s="84">
        <v>100</v>
      </c>
      <c r="G6" s="85">
        <f>SUM(E6)-C6</f>
        <v>-7532</v>
      </c>
    </row>
    <row r="7" spans="2:10" ht="38.25" customHeight="1" thickBot="1" x14ac:dyDescent="0.3">
      <c r="B7" s="42" t="s">
        <v>533</v>
      </c>
      <c r="C7" s="43">
        <f>SUM(C8+C25)</f>
        <v>80037</v>
      </c>
      <c r="D7" s="270">
        <f>SUM(C7)/C6*100</f>
        <v>91.771868872759796</v>
      </c>
      <c r="E7" s="43">
        <f>SUM(E8+E25)</f>
        <v>73105</v>
      </c>
      <c r="F7" s="270">
        <f>SUM(E7)/E6*100</f>
        <v>91.74709152746577</v>
      </c>
      <c r="G7" s="203">
        <f>SUM(E7)-C7</f>
        <v>-6932</v>
      </c>
    </row>
    <row r="8" spans="2:10" ht="22.5" customHeight="1" x14ac:dyDescent="0.25">
      <c r="B8" s="581" t="s">
        <v>112</v>
      </c>
      <c r="C8" s="582">
        <v>52927</v>
      </c>
      <c r="D8" s="583">
        <f>SUM(C8)/C6*100</f>
        <v>60.68705353559676</v>
      </c>
      <c r="E8" s="582">
        <v>52657</v>
      </c>
      <c r="F8" s="583">
        <f>SUM(E8)/E6*100</f>
        <v>66.084762992432317</v>
      </c>
      <c r="G8" s="584">
        <f>SUM(E8)-C8</f>
        <v>-270</v>
      </c>
    </row>
    <row r="9" spans="2:10" ht="17.25" customHeight="1" x14ac:dyDescent="0.25">
      <c r="B9" s="57" t="s">
        <v>1</v>
      </c>
      <c r="C9" s="58"/>
      <c r="D9" s="59"/>
      <c r="E9" s="58"/>
      <c r="F9" s="59"/>
      <c r="G9" s="79"/>
    </row>
    <row r="10" spans="2:10" ht="24" customHeight="1" x14ac:dyDescent="0.25">
      <c r="B10" s="585" t="s">
        <v>113</v>
      </c>
      <c r="C10" s="568">
        <v>42596</v>
      </c>
      <c r="D10" s="586">
        <f>SUM(C10)/C6*100</f>
        <v>48.84134246041301</v>
      </c>
      <c r="E10" s="568">
        <v>43545</v>
      </c>
      <c r="F10" s="586">
        <f>SUM(E10)/E6*100</f>
        <v>54.649163539614207</v>
      </c>
      <c r="G10" s="569">
        <f>SUM(E10)-C10</f>
        <v>949</v>
      </c>
      <c r="H10" s="48"/>
      <c r="I10" s="599">
        <f>SUM(C8,C25)</f>
        <v>80037</v>
      </c>
      <c r="J10" s="599">
        <f>SUM(E8,E25)</f>
        <v>73105</v>
      </c>
    </row>
    <row r="11" spans="2:10" ht="22.5" customHeight="1" thickBot="1" x14ac:dyDescent="0.3">
      <c r="B11" s="587" t="s">
        <v>114</v>
      </c>
      <c r="C11" s="588">
        <v>10331</v>
      </c>
      <c r="D11" s="589">
        <f>SUM(C11)/C6*100</f>
        <v>11.845711075183745</v>
      </c>
      <c r="E11" s="588">
        <v>9112</v>
      </c>
      <c r="F11" s="589">
        <f>SUM(E11)/E6*100</f>
        <v>11.435599452818114</v>
      </c>
      <c r="G11" s="590">
        <f>SUM(E11)-C11</f>
        <v>-1219</v>
      </c>
      <c r="H11" s="285"/>
      <c r="I11" s="599">
        <f>SUM(C10:C11)</f>
        <v>52927</v>
      </c>
      <c r="J11" s="599">
        <f>SUM(E10:E11)</f>
        <v>52657</v>
      </c>
    </row>
    <row r="12" spans="2:10" ht="26.25" customHeight="1" thickTop="1" x14ac:dyDescent="0.25">
      <c r="B12" s="295" t="s">
        <v>115</v>
      </c>
      <c r="C12" s="296"/>
      <c r="D12" s="297"/>
      <c r="E12" s="296"/>
      <c r="F12" s="297"/>
      <c r="G12" s="298"/>
      <c r="I12" s="599">
        <f>SUM(C13:C15,C17:C24)</f>
        <v>10331</v>
      </c>
      <c r="J12" s="599">
        <f>SUM(E13:E15,E17:E24)</f>
        <v>9112</v>
      </c>
    </row>
    <row r="13" spans="2:10" ht="26.25" customHeight="1" x14ac:dyDescent="0.25">
      <c r="B13" s="73" t="s">
        <v>116</v>
      </c>
      <c r="C13" s="30">
        <v>3222</v>
      </c>
      <c r="D13" s="68">
        <f>SUM(C13)/C6*100</f>
        <v>3.6944033572976509</v>
      </c>
      <c r="E13" s="30">
        <v>2937</v>
      </c>
      <c r="F13" s="68">
        <f>SUM(E13)/E6*100</f>
        <v>3.6859477165196219</v>
      </c>
      <c r="G13" s="34">
        <f t="shared" ref="G13:G42" si="0">SUM(E13)-C13</f>
        <v>-285</v>
      </c>
      <c r="I13" s="926">
        <f>SUM(C11/C8)*100</f>
        <v>19.519337956052677</v>
      </c>
      <c r="J13" s="926">
        <f>SUM(E11/E8)*100</f>
        <v>17.30444195453596</v>
      </c>
    </row>
    <row r="14" spans="2:10" ht="26.25" customHeight="1" x14ac:dyDescent="0.25">
      <c r="B14" s="60" t="s">
        <v>117</v>
      </c>
      <c r="C14" s="13">
        <v>1788</v>
      </c>
      <c r="D14" s="61">
        <f>SUM(C14)/C6*100</f>
        <v>2.0501530735096831</v>
      </c>
      <c r="E14" s="13">
        <v>1581</v>
      </c>
      <c r="F14" s="61">
        <f>SUM(E14)/E6*100</f>
        <v>1.9841618453583665</v>
      </c>
      <c r="G14" s="32">
        <f t="shared" si="0"/>
        <v>-207</v>
      </c>
      <c r="I14" s="926">
        <f>SUM(C18/C11)*100</f>
        <v>8.8471590359113357</v>
      </c>
      <c r="J14" s="926">
        <f>SUM(E18/E11)*100</f>
        <v>8.6918349429323971</v>
      </c>
    </row>
    <row r="15" spans="2:10" ht="28.5" customHeight="1" x14ac:dyDescent="0.25">
      <c r="B15" s="60" t="s">
        <v>118</v>
      </c>
      <c r="C15" s="13">
        <v>1897</v>
      </c>
      <c r="D15" s="61">
        <f>SUM(C15)/C6*100</f>
        <v>2.17513444096637</v>
      </c>
      <c r="E15" s="13">
        <v>1721</v>
      </c>
      <c r="F15" s="61">
        <f>SUM(E15)/E6*100</f>
        <v>2.1598624515254579</v>
      </c>
      <c r="G15" s="32">
        <f t="shared" si="0"/>
        <v>-176</v>
      </c>
    </row>
    <row r="16" spans="2:10" ht="27" customHeight="1" x14ac:dyDescent="0.25">
      <c r="B16" s="299" t="s">
        <v>119</v>
      </c>
      <c r="C16" s="13">
        <v>14</v>
      </c>
      <c r="D16" s="61">
        <f>SUM(C16)/C6*100</f>
        <v>1.6052652700858816E-2</v>
      </c>
      <c r="E16" s="62">
        <v>17</v>
      </c>
      <c r="F16" s="63">
        <f>SUM(E16)/E6*100</f>
        <v>2.1335073606003941E-2</v>
      </c>
      <c r="G16" s="80">
        <f t="shared" si="0"/>
        <v>3</v>
      </c>
    </row>
    <row r="17" spans="2:7" ht="30" x14ac:dyDescent="0.25">
      <c r="B17" s="60" t="s">
        <v>78</v>
      </c>
      <c r="C17" s="13">
        <v>2121</v>
      </c>
      <c r="D17" s="61">
        <f>SUM(C17)/C6*100</f>
        <v>2.4319768841801106</v>
      </c>
      <c r="E17" s="13">
        <v>1623</v>
      </c>
      <c r="F17" s="61">
        <f>SUM(E17)/E6*100</f>
        <v>2.0368720272084939</v>
      </c>
      <c r="G17" s="32">
        <f t="shared" si="0"/>
        <v>-498</v>
      </c>
    </row>
    <row r="18" spans="2:7" ht="34.5" customHeight="1" x14ac:dyDescent="0.25">
      <c r="B18" s="60" t="s">
        <v>85</v>
      </c>
      <c r="C18" s="13">
        <v>914</v>
      </c>
      <c r="D18" s="61">
        <f>SUM(C18)/C6*100</f>
        <v>1.0480088977560686</v>
      </c>
      <c r="E18" s="62">
        <v>792</v>
      </c>
      <c r="F18" s="63">
        <f>SUM(E18)/E6*100</f>
        <v>0.99396342917383063</v>
      </c>
      <c r="G18" s="80">
        <f t="shared" si="0"/>
        <v>-122</v>
      </c>
    </row>
    <row r="19" spans="2:7" ht="30" customHeight="1" x14ac:dyDescent="0.25">
      <c r="B19" s="60" t="s">
        <v>120</v>
      </c>
      <c r="C19" s="13">
        <v>41</v>
      </c>
      <c r="D19" s="61">
        <f>SUM(C19)/C6*100</f>
        <v>4.7011340052515102E-2</v>
      </c>
      <c r="E19" s="62">
        <v>0</v>
      </c>
      <c r="F19" s="63">
        <f>SUM(E19)/E6*100</f>
        <v>0</v>
      </c>
      <c r="G19" s="80">
        <f t="shared" si="0"/>
        <v>-41</v>
      </c>
    </row>
    <row r="20" spans="2:7" ht="32.25" customHeight="1" x14ac:dyDescent="0.25">
      <c r="B20" s="60" t="s">
        <v>121</v>
      </c>
      <c r="C20" s="13">
        <v>0</v>
      </c>
      <c r="D20" s="61">
        <f>SUM(C20)/C6*100</f>
        <v>0</v>
      </c>
      <c r="E20" s="62">
        <v>0</v>
      </c>
      <c r="F20" s="63">
        <f>SUM(E20)/E6*100</f>
        <v>0</v>
      </c>
      <c r="G20" s="80">
        <f t="shared" si="0"/>
        <v>0</v>
      </c>
    </row>
    <row r="21" spans="2:7" ht="33.75" customHeight="1" x14ac:dyDescent="0.25">
      <c r="B21" s="60" t="s">
        <v>419</v>
      </c>
      <c r="C21" s="13">
        <v>0</v>
      </c>
      <c r="D21" s="61">
        <f>SUM(C21)/C6*100</f>
        <v>0</v>
      </c>
      <c r="E21" s="62">
        <v>0</v>
      </c>
      <c r="F21" s="63">
        <f>SUM(E21)/E6*100</f>
        <v>0</v>
      </c>
      <c r="G21" s="80">
        <f t="shared" si="0"/>
        <v>0</v>
      </c>
    </row>
    <row r="22" spans="2:7" ht="36.75" customHeight="1" x14ac:dyDescent="0.25">
      <c r="B22" s="60" t="s">
        <v>122</v>
      </c>
      <c r="C22" s="13">
        <v>0</v>
      </c>
      <c r="D22" s="61">
        <f>SUM(C22)/C6*100</f>
        <v>0</v>
      </c>
      <c r="E22" s="62">
        <v>0</v>
      </c>
      <c r="F22" s="63">
        <f>SUM(E22)/E6*100</f>
        <v>0</v>
      </c>
      <c r="G22" s="80">
        <f t="shared" si="0"/>
        <v>0</v>
      </c>
    </row>
    <row r="23" spans="2:7" ht="30" customHeight="1" x14ac:dyDescent="0.25">
      <c r="B23" s="74" t="s">
        <v>123</v>
      </c>
      <c r="C23" s="28">
        <v>112</v>
      </c>
      <c r="D23" s="66">
        <f>SUM(C23)/C6*100</f>
        <v>0.12842122160687053</v>
      </c>
      <c r="E23" s="75">
        <v>116</v>
      </c>
      <c r="F23" s="76">
        <f>SUM(E23)/E6*100</f>
        <v>0.14558050225273278</v>
      </c>
      <c r="G23" s="81">
        <f t="shared" si="0"/>
        <v>4</v>
      </c>
    </row>
    <row r="24" spans="2:7" ht="27.75" customHeight="1" thickBot="1" x14ac:dyDescent="0.3">
      <c r="B24" s="293" t="s">
        <v>130</v>
      </c>
      <c r="C24" s="28">
        <v>236</v>
      </c>
      <c r="D24" s="66">
        <f>SUM(C24)/C6*100</f>
        <v>0.27060185981447721</v>
      </c>
      <c r="E24" s="28">
        <v>342</v>
      </c>
      <c r="F24" s="66">
        <f>SUM(E24)/E6*100</f>
        <v>0.42921148077960869</v>
      </c>
      <c r="G24" s="33">
        <f t="shared" si="0"/>
        <v>106</v>
      </c>
    </row>
    <row r="25" spans="2:7" ht="20.25" customHeight="1" thickBot="1" x14ac:dyDescent="0.3">
      <c r="B25" s="591" t="s">
        <v>124</v>
      </c>
      <c r="C25" s="592">
        <f>SUM(C26:C33)</f>
        <v>27110</v>
      </c>
      <c r="D25" s="593">
        <f>SUM(C25)/C6*100</f>
        <v>31.084815337163036</v>
      </c>
      <c r="E25" s="592">
        <f>SUM(E26:E33)</f>
        <v>20448</v>
      </c>
      <c r="F25" s="593">
        <f>SUM(E25)/E6*100</f>
        <v>25.662328535033446</v>
      </c>
      <c r="G25" s="594">
        <f t="shared" si="0"/>
        <v>-6662</v>
      </c>
    </row>
    <row r="26" spans="2:7" ht="60" customHeight="1" x14ac:dyDescent="0.25">
      <c r="B26" s="67" t="s">
        <v>125</v>
      </c>
      <c r="C26" s="294">
        <v>790</v>
      </c>
      <c r="D26" s="68">
        <f>SUM(C26)/C6*100</f>
        <v>0.90582825954846169</v>
      </c>
      <c r="E26" s="294">
        <v>966</v>
      </c>
      <c r="F26" s="68">
        <f>SUM(E26)/E6*100</f>
        <v>1.2123341825529299</v>
      </c>
      <c r="G26" s="34">
        <f t="shared" si="0"/>
        <v>176</v>
      </c>
    </row>
    <row r="27" spans="2:7" ht="24" customHeight="1" x14ac:dyDescent="0.25">
      <c r="B27" s="64" t="s">
        <v>126</v>
      </c>
      <c r="C27" s="62">
        <v>12084</v>
      </c>
      <c r="D27" s="61">
        <f>SUM(C27)/C6*100</f>
        <v>13.855732516941282</v>
      </c>
      <c r="E27" s="62">
        <v>5847</v>
      </c>
      <c r="F27" s="61">
        <f>SUM(E27)/E6*100</f>
        <v>7.3380103161355903</v>
      </c>
      <c r="G27" s="32">
        <f t="shared" si="0"/>
        <v>-6237</v>
      </c>
    </row>
    <row r="28" spans="2:7" ht="27" customHeight="1" x14ac:dyDescent="0.25">
      <c r="B28" s="64" t="s">
        <v>87</v>
      </c>
      <c r="C28" s="13">
        <v>5717</v>
      </c>
      <c r="D28" s="61">
        <f>SUM(C28)/C6*100</f>
        <v>6.5552153922007044</v>
      </c>
      <c r="E28" s="13">
        <v>5598</v>
      </c>
      <c r="F28" s="61">
        <f>SUM(E28)/E6*100</f>
        <v>7.0255142380241207</v>
      </c>
      <c r="G28" s="32">
        <f t="shared" si="0"/>
        <v>-119</v>
      </c>
    </row>
    <row r="29" spans="2:7" ht="24" customHeight="1" x14ac:dyDescent="0.25">
      <c r="B29" s="64" t="s">
        <v>88</v>
      </c>
      <c r="C29" s="13">
        <v>491</v>
      </c>
      <c r="D29" s="61">
        <f>SUM(C29)/C6*100</f>
        <v>0.56298946258011995</v>
      </c>
      <c r="E29" s="13">
        <v>429</v>
      </c>
      <c r="F29" s="61">
        <f>SUM(E29)/E6*100</f>
        <v>0.53839685746915833</v>
      </c>
      <c r="G29" s="32">
        <f t="shared" si="0"/>
        <v>-62</v>
      </c>
    </row>
    <row r="30" spans="2:7" ht="30" customHeight="1" x14ac:dyDescent="0.25">
      <c r="B30" s="64" t="s">
        <v>89</v>
      </c>
      <c r="C30" s="13">
        <v>1522</v>
      </c>
      <c r="D30" s="61">
        <f>SUM(C30)/C6*100</f>
        <v>1.7451526721933657</v>
      </c>
      <c r="E30" s="13">
        <v>1498</v>
      </c>
      <c r="F30" s="61">
        <f>SUM(E30)/E6*100</f>
        <v>1.8799964859878768</v>
      </c>
      <c r="G30" s="32">
        <f t="shared" si="0"/>
        <v>-24</v>
      </c>
    </row>
    <row r="31" spans="2:7" ht="29.25" customHeight="1" x14ac:dyDescent="0.25">
      <c r="B31" s="64" t="s">
        <v>83</v>
      </c>
      <c r="C31" s="13">
        <v>464</v>
      </c>
      <c r="D31" s="61">
        <f>SUM(C31)/C6*100</f>
        <v>0.53203077522846365</v>
      </c>
      <c r="E31" s="13">
        <v>457</v>
      </c>
      <c r="F31" s="61">
        <f>SUM(E31)/E6*100</f>
        <v>0.57353697870257658</v>
      </c>
      <c r="G31" s="32">
        <f t="shared" si="0"/>
        <v>-7</v>
      </c>
    </row>
    <row r="32" spans="2:7" ht="28.5" customHeight="1" x14ac:dyDescent="0.25">
      <c r="B32" s="65" t="s">
        <v>84</v>
      </c>
      <c r="C32" s="28">
        <v>460</v>
      </c>
      <c r="D32" s="66">
        <f>SUM(C32)/C6*100</f>
        <v>0.52744430302821821</v>
      </c>
      <c r="E32" s="28">
        <v>459</v>
      </c>
      <c r="F32" s="66">
        <f>SUM(E32)/E6*100</f>
        <v>0.57604698736210647</v>
      </c>
      <c r="G32" s="33">
        <f t="shared" si="0"/>
        <v>-1</v>
      </c>
    </row>
    <row r="33" spans="2:7" ht="24.75" customHeight="1" thickBot="1" x14ac:dyDescent="0.3">
      <c r="B33" s="65" t="s">
        <v>90</v>
      </c>
      <c r="C33" s="28">
        <v>5582</v>
      </c>
      <c r="D33" s="66">
        <f>SUM(C33)/C6*100</f>
        <v>6.4004219554424227</v>
      </c>
      <c r="E33" s="28">
        <v>5194</v>
      </c>
      <c r="F33" s="66">
        <f>SUM(E33)/E6*100</f>
        <v>6.5184924887990867</v>
      </c>
      <c r="G33" s="33">
        <f t="shared" si="0"/>
        <v>-388</v>
      </c>
    </row>
    <row r="34" spans="2:7" ht="58.5" customHeight="1" thickBot="1" x14ac:dyDescent="0.3">
      <c r="B34" s="595" t="s">
        <v>534</v>
      </c>
      <c r="C34" s="596">
        <f>SUM(C35,C37,C39:C40,C42)</f>
        <v>7176</v>
      </c>
      <c r="D34" s="597">
        <f>SUM(C34)/C6*100</f>
        <v>8.2281311272402053</v>
      </c>
      <c r="E34" s="596">
        <f>SUM(E35,E37,E39:E40,E42)</f>
        <v>6576</v>
      </c>
      <c r="F34" s="597">
        <f>SUM(E34)/E6*100</f>
        <v>8.2529084725342301</v>
      </c>
      <c r="G34" s="598">
        <f t="shared" si="0"/>
        <v>-600</v>
      </c>
    </row>
    <row r="35" spans="2:7" ht="27" customHeight="1" x14ac:dyDescent="0.25">
      <c r="B35" s="67" t="s">
        <v>79</v>
      </c>
      <c r="C35" s="30">
        <v>1539</v>
      </c>
      <c r="D35" s="68">
        <f>SUM(C35)/C6*100</f>
        <v>1.7646451790444087</v>
      </c>
      <c r="E35" s="30">
        <v>1422</v>
      </c>
      <c r="F35" s="68">
        <f>SUM(E35)/E6*100</f>
        <v>1.7846161569257415</v>
      </c>
      <c r="G35" s="34">
        <f t="shared" si="0"/>
        <v>-117</v>
      </c>
    </row>
    <row r="36" spans="2:7" ht="23.25" customHeight="1" x14ac:dyDescent="0.25">
      <c r="B36" s="292" t="s">
        <v>127</v>
      </c>
      <c r="C36" s="13">
        <v>220</v>
      </c>
      <c r="D36" s="61">
        <f>SUM(C36)/C6*100</f>
        <v>0.25225597101349573</v>
      </c>
      <c r="E36" s="62">
        <v>153</v>
      </c>
      <c r="F36" s="68">
        <f>SUM(E36)/E6*100</f>
        <v>0.19201566245403548</v>
      </c>
      <c r="G36" s="80">
        <f t="shared" si="0"/>
        <v>-67</v>
      </c>
    </row>
    <row r="37" spans="2:7" ht="25.5" customHeight="1" x14ac:dyDescent="0.25">
      <c r="B37" s="64" t="s">
        <v>80</v>
      </c>
      <c r="C37" s="13">
        <v>5110</v>
      </c>
      <c r="D37" s="61">
        <f>SUM(C37)/C6*100</f>
        <v>5.8592182358134686</v>
      </c>
      <c r="E37" s="13">
        <v>4629</v>
      </c>
      <c r="F37" s="61">
        <f>SUM(E37)/E6*100</f>
        <v>5.8094150424818967</v>
      </c>
      <c r="G37" s="32">
        <f t="shared" si="0"/>
        <v>-481</v>
      </c>
    </row>
    <row r="38" spans="2:7" ht="27" customHeight="1" x14ac:dyDescent="0.25">
      <c r="B38" s="292" t="s">
        <v>128</v>
      </c>
      <c r="C38" s="13">
        <v>3</v>
      </c>
      <c r="D38" s="61">
        <f>SUM(C38)/C6*100</f>
        <v>3.4398541501840319E-3</v>
      </c>
      <c r="E38" s="62">
        <v>0</v>
      </c>
      <c r="F38" s="63">
        <f>SUM(E38)/E6*100</f>
        <v>0</v>
      </c>
      <c r="G38" s="80">
        <f t="shared" si="0"/>
        <v>-3</v>
      </c>
    </row>
    <row r="39" spans="2:7" ht="28.5" customHeight="1" x14ac:dyDescent="0.25">
      <c r="B39" s="64" t="s">
        <v>81</v>
      </c>
      <c r="C39" s="13">
        <v>0</v>
      </c>
      <c r="D39" s="61">
        <f>SUM(C39)/C6*100</f>
        <v>0</v>
      </c>
      <c r="E39" s="13">
        <v>0</v>
      </c>
      <c r="F39" s="61">
        <f>SUM(E39)/E6*100</f>
        <v>0</v>
      </c>
      <c r="G39" s="32">
        <f t="shared" si="0"/>
        <v>0</v>
      </c>
    </row>
    <row r="40" spans="2:7" ht="25.5" customHeight="1" x14ac:dyDescent="0.25">
      <c r="B40" s="64" t="s">
        <v>82</v>
      </c>
      <c r="C40" s="13">
        <v>527</v>
      </c>
      <c r="D40" s="61">
        <f>SUM(C40)/C6*100</f>
        <v>0.60426771238232835</v>
      </c>
      <c r="E40" s="13">
        <v>525</v>
      </c>
      <c r="F40" s="61">
        <f>SUM(E40)/E6*100</f>
        <v>0.65887727312659228</v>
      </c>
      <c r="G40" s="32">
        <f t="shared" si="0"/>
        <v>-2</v>
      </c>
    </row>
    <row r="41" spans="2:7" ht="29.25" customHeight="1" x14ac:dyDescent="0.25">
      <c r="B41" s="292" t="s">
        <v>129</v>
      </c>
      <c r="C41" s="13">
        <v>18</v>
      </c>
      <c r="D41" s="61">
        <f>SUM(C41)/C6*100</f>
        <v>2.0639124901104193E-2</v>
      </c>
      <c r="E41" s="62">
        <v>0</v>
      </c>
      <c r="F41" s="63">
        <f>SUM(E41)/E6*100</f>
        <v>0</v>
      </c>
      <c r="G41" s="80">
        <f t="shared" si="0"/>
        <v>-18</v>
      </c>
    </row>
    <row r="42" spans="2:7" ht="36" customHeight="1" thickBot="1" x14ac:dyDescent="0.3">
      <c r="B42" s="69" t="s">
        <v>86</v>
      </c>
      <c r="C42" s="18">
        <v>0</v>
      </c>
      <c r="D42" s="72">
        <f>SUM(C42)/C6*100</f>
        <v>0</v>
      </c>
      <c r="E42" s="70">
        <v>0</v>
      </c>
      <c r="F42" s="71">
        <f>SUM(E42)/E6*100</f>
        <v>0</v>
      </c>
      <c r="G42" s="82">
        <f t="shared" si="0"/>
        <v>0</v>
      </c>
    </row>
  </sheetData>
  <mergeCells count="4">
    <mergeCell ref="B3:B5"/>
    <mergeCell ref="E3:F4"/>
    <mergeCell ref="C3:D4"/>
    <mergeCell ref="G3:G4"/>
  </mergeCells>
  <pageMargins left="0.6692913385826772" right="0" top="0" bottom="0" header="0" footer="0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B2:J15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2" customWidth="1"/>
    <col min="2" max="2" width="38.28515625" style="2" customWidth="1"/>
    <col min="3" max="3" width="10" style="2" customWidth="1"/>
    <col min="4" max="4" width="8.5703125" style="2" customWidth="1"/>
    <col min="5" max="5" width="9.140625" style="2"/>
    <col min="6" max="6" width="8.140625" style="2" customWidth="1"/>
    <col min="7" max="7" width="9.140625" style="2" customWidth="1"/>
    <col min="8" max="8" width="8.85546875" style="2" customWidth="1"/>
    <col min="9" max="9" width="10.28515625" style="2" customWidth="1"/>
    <col min="10" max="16384" width="9.140625" style="2"/>
  </cols>
  <sheetData>
    <row r="2" spans="2:10" x14ac:dyDescent="0.25">
      <c r="B2" s="11" t="s">
        <v>444</v>
      </c>
    </row>
    <row r="3" spans="2:10" x14ac:dyDescent="0.25">
      <c r="B3" s="11" t="s">
        <v>291</v>
      </c>
    </row>
    <row r="4" spans="2:10" ht="15.75" thickBot="1" x14ac:dyDescent="0.3"/>
    <row r="5" spans="2:10" ht="27.75" customHeight="1" x14ac:dyDescent="0.25">
      <c r="B5" s="1013"/>
      <c r="C5" s="1016">
        <v>2024</v>
      </c>
      <c r="D5" s="1016"/>
      <c r="E5" s="1015">
        <v>2025</v>
      </c>
      <c r="F5" s="1016"/>
      <c r="G5" s="1016" t="s">
        <v>101</v>
      </c>
      <c r="H5" s="991"/>
    </row>
    <row r="6" spans="2:10" ht="32.25" customHeight="1" thickBot="1" x14ac:dyDescent="0.3">
      <c r="B6" s="1014"/>
      <c r="C6" s="600" t="s">
        <v>99</v>
      </c>
      <c r="D6" s="600" t="s">
        <v>347</v>
      </c>
      <c r="E6" s="601" t="s">
        <v>99</v>
      </c>
      <c r="F6" s="600" t="s">
        <v>347</v>
      </c>
      <c r="G6" s="602" t="s">
        <v>99</v>
      </c>
      <c r="H6" s="603" t="s">
        <v>347</v>
      </c>
    </row>
    <row r="7" spans="2:10" ht="30" customHeight="1" x14ac:dyDescent="0.25">
      <c r="B7" s="393" t="s">
        <v>4</v>
      </c>
      <c r="C7" s="394">
        <v>52927</v>
      </c>
      <c r="D7" s="395">
        <f>SUM(D8:D9)</f>
        <v>100</v>
      </c>
      <c r="E7" s="396">
        <v>52657</v>
      </c>
      <c r="F7" s="395">
        <f>SUM(F8:F9)</f>
        <v>100</v>
      </c>
      <c r="G7" s="397">
        <f>E7-C7</f>
        <v>-270</v>
      </c>
      <c r="H7" s="398">
        <f>G7/C7*100</f>
        <v>-0.51013660324598031</v>
      </c>
    </row>
    <row r="8" spans="2:10" ht="29.25" customHeight="1" x14ac:dyDescent="0.25">
      <c r="B8" s="12" t="s">
        <v>5</v>
      </c>
      <c r="C8" s="9">
        <v>26612</v>
      </c>
      <c r="D8" s="10">
        <f>SUM(C8)/C7*100</f>
        <v>50.280575131785291</v>
      </c>
      <c r="E8" s="6">
        <v>26134</v>
      </c>
      <c r="F8" s="10">
        <f>SUM(E8)/E7*100</f>
        <v>49.630628406479673</v>
      </c>
      <c r="G8" s="98">
        <f>E8-C8</f>
        <v>-478</v>
      </c>
      <c r="H8" s="54">
        <f>E8*100/C8-100</f>
        <v>-1.796182173455577</v>
      </c>
    </row>
    <row r="9" spans="2:10" ht="27.75" customHeight="1" thickBot="1" x14ac:dyDescent="0.3">
      <c r="B9" s="86" t="s">
        <v>6</v>
      </c>
      <c r="C9" s="5">
        <f>SUM(C7-C8)</f>
        <v>26315</v>
      </c>
      <c r="D9" s="47">
        <f>SUM(C9)/C7*100</f>
        <v>49.719424868214709</v>
      </c>
      <c r="E9" s="4">
        <f>SUM(E7)-E8</f>
        <v>26523</v>
      </c>
      <c r="F9" s="47">
        <f>SUM(E9)/E7*100</f>
        <v>50.369371593520327</v>
      </c>
      <c r="G9" s="99">
        <f>E9-C9</f>
        <v>208</v>
      </c>
      <c r="H9" s="94">
        <f>E9*100/C9-100</f>
        <v>0.79042371271138734</v>
      </c>
      <c r="J9" s="56"/>
    </row>
    <row r="10" spans="2:10" ht="25.5" customHeight="1" x14ac:dyDescent="0.25">
      <c r="B10" s="261" t="s">
        <v>132</v>
      </c>
      <c r="C10" s="262"/>
      <c r="D10" s="262"/>
      <c r="E10" s="262"/>
      <c r="F10" s="262"/>
      <c r="G10" s="262"/>
      <c r="H10" s="263"/>
    </row>
    <row r="11" spans="2:10" ht="25.5" customHeight="1" x14ac:dyDescent="0.25">
      <c r="B11" s="12" t="s">
        <v>133</v>
      </c>
      <c r="C11" s="9">
        <v>48079</v>
      </c>
      <c r="D11" s="10">
        <f>SUM(C11)/C7*100</f>
        <v>90.840213879494399</v>
      </c>
      <c r="E11" s="6">
        <v>47778</v>
      </c>
      <c r="F11" s="10">
        <f>SUM(E11)/E7*100</f>
        <v>90.734375296731685</v>
      </c>
      <c r="G11" s="91">
        <f>E11-C11</f>
        <v>-301</v>
      </c>
      <c r="H11" s="7">
        <f>E11*100/C11-100</f>
        <v>-0.62605295451236032</v>
      </c>
    </row>
    <row r="12" spans="2:10" ht="30" x14ac:dyDescent="0.25">
      <c r="B12" s="12" t="s">
        <v>134</v>
      </c>
      <c r="C12" s="14">
        <v>2216</v>
      </c>
      <c r="D12" s="89">
        <f>SUM(C12)/C7*100</f>
        <v>4.1868989362707127</v>
      </c>
      <c r="E12" s="87">
        <v>2266</v>
      </c>
      <c r="F12" s="89">
        <f>SUM(E12)/E7*100</f>
        <v>4.3033214957175687</v>
      </c>
      <c r="G12" s="92">
        <f>E12-C12</f>
        <v>50</v>
      </c>
      <c r="H12" s="25">
        <f>E12*100/C12-100</f>
        <v>2.2563176895306896</v>
      </c>
    </row>
    <row r="13" spans="2:10" ht="23.25" customHeight="1" thickBot="1" x14ac:dyDescent="0.3">
      <c r="B13" s="290" t="s">
        <v>2</v>
      </c>
      <c r="C13" s="19">
        <v>4848</v>
      </c>
      <c r="D13" s="90">
        <f>SUM(C13)/C7*100</f>
        <v>9.1597861205056024</v>
      </c>
      <c r="E13" s="88">
        <v>4879</v>
      </c>
      <c r="F13" s="90">
        <f>SUM(E13)/E7*100</f>
        <v>9.2656247032683208</v>
      </c>
      <c r="G13" s="93">
        <f>E13-C13</f>
        <v>31</v>
      </c>
      <c r="H13" s="26">
        <f>E13*100/C13-100</f>
        <v>0.63943894389439038</v>
      </c>
    </row>
    <row r="15" spans="2:10" x14ac:dyDescent="0.25">
      <c r="C15" s="863">
        <f>SUM(C11,C13)</f>
        <v>52927</v>
      </c>
    </row>
  </sheetData>
  <mergeCells count="4">
    <mergeCell ref="B5:B6"/>
    <mergeCell ref="E5:F5"/>
    <mergeCell ref="C5:D5"/>
    <mergeCell ref="G5:H5"/>
  </mergeCells>
  <pageMargins left="1.8897637795275593" right="0.70866141732283472" top="1.7322834645669292" bottom="0.74803149606299213" header="0.31496062992125984" footer="0.31496062992125984"/>
  <pageSetup paperSize="9" orientation="landscape" r:id="rId1"/>
  <ignoredErrors>
    <ignoredError sqref="E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B1:O32"/>
  <sheetViews>
    <sheetView zoomScale="90" zoomScaleNormal="90" workbookViewId="0">
      <selection activeCell="B1" sqref="B1"/>
    </sheetView>
  </sheetViews>
  <sheetFormatPr defaultColWidth="9.140625" defaultRowHeight="15" x14ac:dyDescent="0.25"/>
  <cols>
    <col min="1" max="1" width="2.28515625" style="11" customWidth="1"/>
    <col min="2" max="2" width="21.7109375" style="11" customWidth="1"/>
    <col min="3" max="3" width="11.140625" style="11" customWidth="1"/>
    <col min="4" max="4" width="11" style="11" customWidth="1"/>
    <col min="5" max="5" width="7.140625" style="11" customWidth="1"/>
    <col min="6" max="6" width="9.85546875" style="11" customWidth="1"/>
    <col min="7" max="7" width="11.140625" style="11" customWidth="1"/>
    <col min="8" max="8" width="7" style="11" customWidth="1"/>
    <col min="9" max="9" width="9.28515625" style="11" customWidth="1"/>
    <col min="10" max="10" width="7.140625" style="11" customWidth="1"/>
    <col min="11" max="11" width="8.7109375" style="11" customWidth="1"/>
    <col min="12" max="12" width="7.28515625" style="11" customWidth="1"/>
    <col min="13" max="13" width="2.7109375" style="11" customWidth="1"/>
    <col min="14" max="14" width="9.5703125" style="11" customWidth="1"/>
    <col min="15" max="15" width="9.7109375" style="11" customWidth="1"/>
    <col min="16" max="16384" width="9.140625" style="11"/>
  </cols>
  <sheetData>
    <row r="1" spans="2:15" x14ac:dyDescent="0.25">
      <c r="B1" s="11" t="s">
        <v>445</v>
      </c>
    </row>
    <row r="2" spans="2:15" ht="15.75" thickBot="1" x14ac:dyDescent="0.3">
      <c r="B2" s="11" t="s">
        <v>293</v>
      </c>
    </row>
    <row r="3" spans="2:15" ht="15.75" thickBot="1" x14ac:dyDescent="0.3">
      <c r="B3" s="988" t="s">
        <v>100</v>
      </c>
      <c r="C3" s="1019" t="s">
        <v>136</v>
      </c>
      <c r="D3" s="1020"/>
      <c r="E3" s="1020"/>
      <c r="F3" s="1020"/>
      <c r="G3" s="1020"/>
      <c r="H3" s="1020"/>
      <c r="I3" s="1020"/>
      <c r="J3" s="1020"/>
      <c r="K3" s="1020"/>
      <c r="L3" s="1021"/>
    </row>
    <row r="4" spans="2:15" ht="28.5" customHeight="1" x14ac:dyDescent="0.25">
      <c r="B4" s="996"/>
      <c r="C4" s="1022">
        <v>2024</v>
      </c>
      <c r="D4" s="1023"/>
      <c r="E4" s="1024"/>
      <c r="F4" s="1022">
        <v>2025</v>
      </c>
      <c r="G4" s="1023"/>
      <c r="H4" s="1024"/>
      <c r="I4" s="1022" t="s">
        <v>101</v>
      </c>
      <c r="J4" s="1023"/>
      <c r="K4" s="1023"/>
      <c r="L4" s="1024"/>
    </row>
    <row r="5" spans="2:15" ht="43.5" customHeight="1" x14ac:dyDescent="0.25">
      <c r="B5" s="996"/>
      <c r="C5" s="1017" t="s">
        <v>4</v>
      </c>
      <c r="D5" s="1025" t="s">
        <v>71</v>
      </c>
      <c r="E5" s="1026"/>
      <c r="F5" s="1017" t="s">
        <v>4</v>
      </c>
      <c r="G5" s="1025" t="s">
        <v>71</v>
      </c>
      <c r="H5" s="1026"/>
      <c r="I5" s="1027" t="s">
        <v>4</v>
      </c>
      <c r="J5" s="1028"/>
      <c r="K5" s="1025" t="s">
        <v>71</v>
      </c>
      <c r="L5" s="1026"/>
    </row>
    <row r="6" spans="2:15" ht="20.25" customHeight="1" thickBot="1" x14ac:dyDescent="0.3">
      <c r="B6" s="989"/>
      <c r="C6" s="1018"/>
      <c r="D6" s="604" t="s">
        <v>99</v>
      </c>
      <c r="E6" s="605" t="s">
        <v>347</v>
      </c>
      <c r="F6" s="1018"/>
      <c r="G6" s="604" t="s">
        <v>99</v>
      </c>
      <c r="H6" s="605" t="s">
        <v>347</v>
      </c>
      <c r="I6" s="606" t="s">
        <v>99</v>
      </c>
      <c r="J6" s="604" t="s">
        <v>347</v>
      </c>
      <c r="K6" s="607" t="s">
        <v>99</v>
      </c>
      <c r="L6" s="605" t="s">
        <v>347</v>
      </c>
      <c r="N6" s="604" t="s">
        <v>295</v>
      </c>
      <c r="O6" s="604" t="s">
        <v>296</v>
      </c>
    </row>
    <row r="7" spans="2:15" ht="26.25" customHeight="1" thickBot="1" x14ac:dyDescent="0.3">
      <c r="B7" s="202" t="s">
        <v>13</v>
      </c>
      <c r="C7" s="78">
        <f>SUM(C8:C32)</f>
        <v>87213</v>
      </c>
      <c r="D7" s="252">
        <f>SUM(D8:D32)</f>
        <v>52927</v>
      </c>
      <c r="E7" s="271">
        <f>D7/C7*100</f>
        <v>60.68705353559676</v>
      </c>
      <c r="F7" s="78">
        <f>SUM(F8:F32)</f>
        <v>79681</v>
      </c>
      <c r="G7" s="252">
        <f>SUM(G8:G32)</f>
        <v>52657</v>
      </c>
      <c r="H7" s="253">
        <f>SUM(G7)/F7*100</f>
        <v>66.084762992432317</v>
      </c>
      <c r="I7" s="78">
        <f>SUM(F7)-C7</f>
        <v>-7532</v>
      </c>
      <c r="J7" s="272">
        <f>SUM(I7)/C7*100</f>
        <v>-8.6363271530620445</v>
      </c>
      <c r="K7" s="252">
        <f>SUM(G7)-D7</f>
        <v>-270</v>
      </c>
      <c r="L7" s="253">
        <f>SUM(K7)/D7*100</f>
        <v>-0.51013660324598031</v>
      </c>
      <c r="N7" s="343" t="s">
        <v>91</v>
      </c>
      <c r="O7" s="343" t="s">
        <v>91</v>
      </c>
    </row>
    <row r="8" spans="2:15" ht="18" customHeight="1" x14ac:dyDescent="0.25">
      <c r="B8" s="53" t="s">
        <v>14</v>
      </c>
      <c r="C8" s="178">
        <v>1210</v>
      </c>
      <c r="D8" s="179">
        <v>795</v>
      </c>
      <c r="E8" s="100">
        <f t="shared" ref="E8:E32" si="0">D8/C8*100</f>
        <v>65.702479338842977</v>
      </c>
      <c r="F8" s="178">
        <v>1148</v>
      </c>
      <c r="G8" s="179">
        <v>755</v>
      </c>
      <c r="H8" s="54">
        <f t="shared" ref="H8:H32" si="1">SUM(G8)/F8*100</f>
        <v>65.766550522648089</v>
      </c>
      <c r="I8" s="178">
        <f t="shared" ref="I8:I32" si="2">SUM(F8)-C8</f>
        <v>-62</v>
      </c>
      <c r="J8" s="259">
        <f t="shared" ref="J8:J32" si="3">SUM(I8)/C8*100</f>
        <v>-5.1239669421487601</v>
      </c>
      <c r="K8" s="179">
        <f>SUM(G8)-D8</f>
        <v>-40</v>
      </c>
      <c r="L8" s="54">
        <f t="shared" ref="L8:L32" si="4">SUM(K8)/D8*100</f>
        <v>-5.0314465408805038</v>
      </c>
      <c r="N8" s="179">
        <f>RANK(F8,F8:F32,0)</f>
        <v>25</v>
      </c>
      <c r="O8" s="179">
        <f>RANK(F8,F8:F32,1)</f>
        <v>1</v>
      </c>
    </row>
    <row r="9" spans="2:15" ht="15.75" customHeight="1" x14ac:dyDescent="0.25">
      <c r="B9" s="12" t="s">
        <v>15</v>
      </c>
      <c r="C9" s="50">
        <v>3873</v>
      </c>
      <c r="D9" s="9">
        <v>2234</v>
      </c>
      <c r="E9" s="100">
        <f t="shared" si="0"/>
        <v>57.681383940098115</v>
      </c>
      <c r="F9" s="50">
        <v>3561</v>
      </c>
      <c r="G9" s="9">
        <v>2200</v>
      </c>
      <c r="H9" s="7">
        <f t="shared" si="1"/>
        <v>61.780398764392018</v>
      </c>
      <c r="I9" s="50">
        <f t="shared" si="2"/>
        <v>-312</v>
      </c>
      <c r="J9" s="101">
        <f t="shared" si="3"/>
        <v>-8.0557707203718056</v>
      </c>
      <c r="K9" s="9">
        <f>SUM(G9)-D9</f>
        <v>-34</v>
      </c>
      <c r="L9" s="7">
        <f t="shared" si="4"/>
        <v>-1.5219337511190689</v>
      </c>
      <c r="N9" s="9">
        <f>RANK(F9,F8:F32,0)</f>
        <v>8</v>
      </c>
      <c r="O9" s="9">
        <f>RANK(F9,F8:F32,1)</f>
        <v>18</v>
      </c>
    </row>
    <row r="10" spans="2:15" x14ac:dyDescent="0.25">
      <c r="B10" s="12" t="s">
        <v>16</v>
      </c>
      <c r="C10" s="50">
        <v>4408</v>
      </c>
      <c r="D10" s="9">
        <v>2391</v>
      </c>
      <c r="E10" s="100">
        <f t="shared" si="0"/>
        <v>54.242286751361156</v>
      </c>
      <c r="F10" s="50">
        <v>3775</v>
      </c>
      <c r="G10" s="9">
        <v>2411</v>
      </c>
      <c r="H10" s="7">
        <f t="shared" si="1"/>
        <v>63.867549668874169</v>
      </c>
      <c r="I10" s="50">
        <f t="shared" si="2"/>
        <v>-633</v>
      </c>
      <c r="J10" s="101">
        <f t="shared" si="3"/>
        <v>-14.360254083484575</v>
      </c>
      <c r="K10" s="9">
        <f t="shared" ref="K10:K32" si="5">SUM(G10)-D10</f>
        <v>20</v>
      </c>
      <c r="L10" s="7">
        <f t="shared" si="4"/>
        <v>0.8364700961940611</v>
      </c>
      <c r="N10" s="9">
        <f>RANK(F10,F8:F32,0)</f>
        <v>7</v>
      </c>
      <c r="O10" s="9">
        <f>RANK(F10,F8:F32,1)</f>
        <v>19</v>
      </c>
    </row>
    <row r="11" spans="2:15" x14ac:dyDescent="0.25">
      <c r="B11" s="12" t="s">
        <v>17</v>
      </c>
      <c r="C11" s="50">
        <v>5561</v>
      </c>
      <c r="D11" s="9">
        <v>3320</v>
      </c>
      <c r="E11" s="100">
        <f t="shared" si="0"/>
        <v>59.701492537313428</v>
      </c>
      <c r="F11" s="50">
        <v>5269</v>
      </c>
      <c r="G11" s="9">
        <v>3549</v>
      </c>
      <c r="H11" s="7">
        <f t="shared" si="1"/>
        <v>67.356234579616626</v>
      </c>
      <c r="I11" s="50">
        <f t="shared" si="2"/>
        <v>-292</v>
      </c>
      <c r="J11" s="101">
        <f t="shared" si="3"/>
        <v>-5.250854162920338</v>
      </c>
      <c r="K11" s="9">
        <f t="shared" si="5"/>
        <v>229</v>
      </c>
      <c r="L11" s="7">
        <f t="shared" si="4"/>
        <v>6.8975903614457836</v>
      </c>
      <c r="N11" s="9">
        <f>RANK(F11,F8:F32,0)</f>
        <v>2</v>
      </c>
      <c r="O11" s="9">
        <f>RANK(F11,F8:F32,1)</f>
        <v>24</v>
      </c>
    </row>
    <row r="12" spans="2:15" x14ac:dyDescent="0.25">
      <c r="B12" s="12" t="s">
        <v>18</v>
      </c>
      <c r="C12" s="50">
        <v>5693</v>
      </c>
      <c r="D12" s="9">
        <v>3169</v>
      </c>
      <c r="E12" s="100">
        <f t="shared" si="0"/>
        <v>55.664851572106102</v>
      </c>
      <c r="F12" s="50">
        <v>5073</v>
      </c>
      <c r="G12" s="9">
        <v>3110</v>
      </c>
      <c r="H12" s="7">
        <f t="shared" si="1"/>
        <v>61.304947762665087</v>
      </c>
      <c r="I12" s="50">
        <f t="shared" si="2"/>
        <v>-620</v>
      </c>
      <c r="J12" s="101">
        <f t="shared" si="3"/>
        <v>-10.890567363428772</v>
      </c>
      <c r="K12" s="9">
        <f t="shared" si="5"/>
        <v>-59</v>
      </c>
      <c r="L12" s="7">
        <f t="shared" si="4"/>
        <v>-1.861786052382455</v>
      </c>
      <c r="N12" s="9">
        <f>RANK(F12,F8:F32,0)</f>
        <v>3</v>
      </c>
      <c r="O12" s="9">
        <f>RANK(F12,F8:F32,1)</f>
        <v>23</v>
      </c>
    </row>
    <row r="13" spans="2:15" x14ac:dyDescent="0.25">
      <c r="B13" s="12" t="s">
        <v>19</v>
      </c>
      <c r="C13" s="50">
        <v>2229</v>
      </c>
      <c r="D13" s="9">
        <v>1299</v>
      </c>
      <c r="E13" s="100">
        <f t="shared" si="0"/>
        <v>58.277254374158815</v>
      </c>
      <c r="F13" s="50">
        <v>2012</v>
      </c>
      <c r="G13" s="9">
        <v>1262</v>
      </c>
      <c r="H13" s="7">
        <f t="shared" si="1"/>
        <v>62.72365805168986</v>
      </c>
      <c r="I13" s="50">
        <f t="shared" si="2"/>
        <v>-217</v>
      </c>
      <c r="J13" s="101">
        <f t="shared" si="3"/>
        <v>-9.7353073126962766</v>
      </c>
      <c r="K13" s="9">
        <f t="shared" si="5"/>
        <v>-37</v>
      </c>
      <c r="L13" s="7">
        <f t="shared" si="4"/>
        <v>-2.8483448806774438</v>
      </c>
      <c r="N13" s="9">
        <f>RANK(F13,F8:F32,0)</f>
        <v>20</v>
      </c>
      <c r="O13" s="9">
        <f>RANK(F13,F8:F32,1)</f>
        <v>6</v>
      </c>
    </row>
    <row r="14" spans="2:15" x14ac:dyDescent="0.25">
      <c r="B14" s="12" t="s">
        <v>20</v>
      </c>
      <c r="C14" s="50">
        <v>3538</v>
      </c>
      <c r="D14" s="9">
        <v>1899</v>
      </c>
      <c r="E14" s="100">
        <f t="shared" si="0"/>
        <v>53.674392312040695</v>
      </c>
      <c r="F14" s="50">
        <v>3295</v>
      </c>
      <c r="G14" s="9">
        <v>2030</v>
      </c>
      <c r="H14" s="7">
        <f t="shared" si="1"/>
        <v>61.608497723823973</v>
      </c>
      <c r="I14" s="50">
        <f t="shared" si="2"/>
        <v>-243</v>
      </c>
      <c r="J14" s="101">
        <f t="shared" si="3"/>
        <v>-6.8682871678914639</v>
      </c>
      <c r="K14" s="9">
        <f t="shared" si="5"/>
        <v>131</v>
      </c>
      <c r="L14" s="7">
        <f t="shared" si="4"/>
        <v>6.8983675618746716</v>
      </c>
      <c r="N14" s="9">
        <f>RANK(F14,F8:F32,0)</f>
        <v>12</v>
      </c>
      <c r="O14" s="9">
        <f>RANK(F14,F8:F32,1)</f>
        <v>14</v>
      </c>
    </row>
    <row r="15" spans="2:15" x14ac:dyDescent="0.25">
      <c r="B15" s="12" t="s">
        <v>21</v>
      </c>
      <c r="C15" s="50">
        <v>1563</v>
      </c>
      <c r="D15" s="9">
        <v>1090</v>
      </c>
      <c r="E15" s="100">
        <f t="shared" si="0"/>
        <v>69.73768394113884</v>
      </c>
      <c r="F15" s="50">
        <v>1542</v>
      </c>
      <c r="G15" s="9">
        <v>1084</v>
      </c>
      <c r="H15" s="7">
        <f>SUM(G15)/F15*100</f>
        <v>70.298313878080407</v>
      </c>
      <c r="I15" s="50">
        <f t="shared" si="2"/>
        <v>-21</v>
      </c>
      <c r="J15" s="101">
        <f t="shared" si="3"/>
        <v>-1.3435700575815739</v>
      </c>
      <c r="K15" s="9">
        <f t="shared" si="5"/>
        <v>-6</v>
      </c>
      <c r="L15" s="7">
        <f t="shared" si="4"/>
        <v>-0.55045871559633031</v>
      </c>
      <c r="N15" s="9">
        <f>RANK(F15,F8:F32,0)</f>
        <v>22</v>
      </c>
      <c r="O15" s="9">
        <f>RANK(F15,F8:F32,1)</f>
        <v>4</v>
      </c>
    </row>
    <row r="16" spans="2:15" x14ac:dyDescent="0.25">
      <c r="B16" s="12" t="s">
        <v>22</v>
      </c>
      <c r="C16" s="50">
        <v>3939</v>
      </c>
      <c r="D16" s="9">
        <v>2011</v>
      </c>
      <c r="E16" s="100">
        <f t="shared" si="0"/>
        <v>51.053566895151057</v>
      </c>
      <c r="F16" s="50">
        <v>3495</v>
      </c>
      <c r="G16" s="9">
        <v>2105</v>
      </c>
      <c r="H16" s="7">
        <f>SUM(G16)/F16*100</f>
        <v>60.228898426323319</v>
      </c>
      <c r="I16" s="50">
        <f t="shared" si="2"/>
        <v>-444</v>
      </c>
      <c r="J16" s="101">
        <f t="shared" si="3"/>
        <v>-11.271896420411272</v>
      </c>
      <c r="K16" s="9">
        <f t="shared" si="5"/>
        <v>94</v>
      </c>
      <c r="L16" s="7">
        <f t="shared" si="4"/>
        <v>4.6742913973147688</v>
      </c>
      <c r="N16" s="9">
        <f>RANK(F16,F8:F32,0)</f>
        <v>9</v>
      </c>
      <c r="O16" s="9">
        <f>RANK(F16,F8:F32,1)</f>
        <v>17</v>
      </c>
    </row>
    <row r="17" spans="2:15" x14ac:dyDescent="0.25">
      <c r="B17" s="12" t="s">
        <v>23</v>
      </c>
      <c r="C17" s="50">
        <v>2642</v>
      </c>
      <c r="D17" s="9">
        <v>1542</v>
      </c>
      <c r="E17" s="100">
        <f t="shared" si="0"/>
        <v>58.364875094625276</v>
      </c>
      <c r="F17" s="50">
        <v>2297</v>
      </c>
      <c r="G17" s="9">
        <v>1476</v>
      </c>
      <c r="H17" s="7">
        <f>SUM(G17)/F17*100</f>
        <v>64.257727470613844</v>
      </c>
      <c r="I17" s="50">
        <f t="shared" si="2"/>
        <v>-345</v>
      </c>
      <c r="J17" s="101">
        <f t="shared" si="3"/>
        <v>-13.058289174867523</v>
      </c>
      <c r="K17" s="9">
        <f t="shared" si="5"/>
        <v>-66</v>
      </c>
      <c r="L17" s="7">
        <f t="shared" si="4"/>
        <v>-4.2801556420233462</v>
      </c>
      <c r="N17" s="9">
        <f>RANK(F17,F8:F32,0)</f>
        <v>19</v>
      </c>
      <c r="O17" s="9">
        <f>RANK(F17,F8:F32,1)</f>
        <v>7</v>
      </c>
    </row>
    <row r="18" spans="2:15" x14ac:dyDescent="0.25">
      <c r="B18" s="12" t="s">
        <v>24</v>
      </c>
      <c r="C18" s="50">
        <v>3681</v>
      </c>
      <c r="D18" s="9">
        <v>2323</v>
      </c>
      <c r="E18" s="100">
        <f t="shared" si="0"/>
        <v>63.107851127411031</v>
      </c>
      <c r="F18" s="50">
        <v>3369</v>
      </c>
      <c r="G18" s="9">
        <v>2286</v>
      </c>
      <c r="H18" s="7">
        <f t="shared" si="1"/>
        <v>67.853962600178093</v>
      </c>
      <c r="I18" s="50">
        <f t="shared" si="2"/>
        <v>-312</v>
      </c>
      <c r="J18" s="101">
        <f t="shared" si="3"/>
        <v>-8.4759576202118989</v>
      </c>
      <c r="K18" s="9">
        <f t="shared" si="5"/>
        <v>-37</v>
      </c>
      <c r="L18" s="7">
        <f t="shared" si="4"/>
        <v>-1.5927679724494186</v>
      </c>
      <c r="N18" s="9">
        <f>RANK(F18,F8:F32,0)</f>
        <v>11</v>
      </c>
      <c r="O18" s="9">
        <f>RANK(F18,F8:F32,1)</f>
        <v>15</v>
      </c>
    </row>
    <row r="19" spans="2:15" x14ac:dyDescent="0.25">
      <c r="B19" s="12" t="s">
        <v>25</v>
      </c>
      <c r="C19" s="50">
        <v>4678</v>
      </c>
      <c r="D19" s="9">
        <v>3312</v>
      </c>
      <c r="E19" s="100">
        <f t="shared" si="0"/>
        <v>70.79948696023942</v>
      </c>
      <c r="F19" s="50">
        <v>4457</v>
      </c>
      <c r="G19" s="9">
        <v>3244</v>
      </c>
      <c r="H19" s="7">
        <f t="shared" si="1"/>
        <v>72.784384114875479</v>
      </c>
      <c r="I19" s="50">
        <f t="shared" si="2"/>
        <v>-221</v>
      </c>
      <c r="J19" s="101">
        <f t="shared" si="3"/>
        <v>-4.7242411286874733</v>
      </c>
      <c r="K19" s="9">
        <f t="shared" si="5"/>
        <v>-68</v>
      </c>
      <c r="L19" s="7">
        <f t="shared" si="4"/>
        <v>-2.0531400966183577</v>
      </c>
      <c r="N19" s="9">
        <f>RANK(F19,F8:F32,0)</f>
        <v>5</v>
      </c>
      <c r="O19" s="9">
        <f>RANK(F19,F8:F32,1)</f>
        <v>21</v>
      </c>
    </row>
    <row r="20" spans="2:15" x14ac:dyDescent="0.25">
      <c r="B20" s="12" t="s">
        <v>26</v>
      </c>
      <c r="C20" s="50">
        <v>3539</v>
      </c>
      <c r="D20" s="9">
        <v>1919</v>
      </c>
      <c r="E20" s="100">
        <f t="shared" si="0"/>
        <v>54.224357163040402</v>
      </c>
      <c r="F20" s="50">
        <v>2957</v>
      </c>
      <c r="G20" s="9">
        <v>1837</v>
      </c>
      <c r="H20" s="7">
        <f t="shared" si="1"/>
        <v>62.123774095366926</v>
      </c>
      <c r="I20" s="50">
        <f t="shared" si="2"/>
        <v>-582</v>
      </c>
      <c r="J20" s="101">
        <f t="shared" si="3"/>
        <v>-16.445323537722519</v>
      </c>
      <c r="K20" s="9">
        <f t="shared" si="5"/>
        <v>-82</v>
      </c>
      <c r="L20" s="7">
        <f t="shared" si="4"/>
        <v>-4.2730588848358524</v>
      </c>
      <c r="N20" s="9">
        <f>RANK(F20,F8:F32,0)</f>
        <v>17</v>
      </c>
      <c r="O20" s="9">
        <f>RANK(F20,F8:F32,1)</f>
        <v>9</v>
      </c>
    </row>
    <row r="21" spans="2:15" x14ac:dyDescent="0.25">
      <c r="B21" s="16" t="s">
        <v>27</v>
      </c>
      <c r="C21" s="50">
        <v>3459</v>
      </c>
      <c r="D21" s="9">
        <v>1966</v>
      </c>
      <c r="E21" s="100">
        <f t="shared" si="0"/>
        <v>56.837236195432205</v>
      </c>
      <c r="F21" s="50">
        <v>3085</v>
      </c>
      <c r="G21" s="9">
        <v>1996</v>
      </c>
      <c r="H21" s="7">
        <f t="shared" si="1"/>
        <v>64.700162074554285</v>
      </c>
      <c r="I21" s="50">
        <f t="shared" si="2"/>
        <v>-374</v>
      </c>
      <c r="J21" s="101">
        <f t="shared" si="3"/>
        <v>-10.812373518357907</v>
      </c>
      <c r="K21" s="9">
        <f t="shared" si="5"/>
        <v>30</v>
      </c>
      <c r="L21" s="7">
        <f t="shared" si="4"/>
        <v>1.5259409969481181</v>
      </c>
      <c r="N21" s="9">
        <f>RANK(F21,F8:F32,0)</f>
        <v>16</v>
      </c>
      <c r="O21" s="9">
        <f>RANK(F21,F8:F32,1)</f>
        <v>10</v>
      </c>
    </row>
    <row r="22" spans="2:15" x14ac:dyDescent="0.25">
      <c r="B22" s="16" t="s">
        <v>28</v>
      </c>
      <c r="C22" s="50">
        <v>4571</v>
      </c>
      <c r="D22" s="9">
        <v>2852</v>
      </c>
      <c r="E22" s="100">
        <f t="shared" si="0"/>
        <v>62.393349376504048</v>
      </c>
      <c r="F22" s="50">
        <v>3961</v>
      </c>
      <c r="G22" s="9">
        <v>2542</v>
      </c>
      <c r="H22" s="7">
        <f t="shared" si="1"/>
        <v>64.175713203736422</v>
      </c>
      <c r="I22" s="50">
        <f t="shared" si="2"/>
        <v>-610</v>
      </c>
      <c r="J22" s="101">
        <f t="shared" si="3"/>
        <v>-13.345001093852549</v>
      </c>
      <c r="K22" s="9">
        <f t="shared" si="5"/>
        <v>-310</v>
      </c>
      <c r="L22" s="7">
        <f t="shared" si="4"/>
        <v>-10.869565217391305</v>
      </c>
      <c r="N22" s="9">
        <f>RANK(F22,F8:F32,0)</f>
        <v>6</v>
      </c>
      <c r="O22" s="9">
        <f>RANK(F22,F8:F32,1)</f>
        <v>20</v>
      </c>
    </row>
    <row r="23" spans="2:15" x14ac:dyDescent="0.25">
      <c r="B23" s="16" t="s">
        <v>29</v>
      </c>
      <c r="C23" s="50">
        <v>3725</v>
      </c>
      <c r="D23" s="9">
        <v>2225</v>
      </c>
      <c r="E23" s="100">
        <f t="shared" si="0"/>
        <v>59.731543624161077</v>
      </c>
      <c r="F23" s="50">
        <v>3216</v>
      </c>
      <c r="G23" s="9">
        <v>2176</v>
      </c>
      <c r="H23" s="7">
        <f t="shared" si="1"/>
        <v>67.661691542288565</v>
      </c>
      <c r="I23" s="50">
        <f t="shared" si="2"/>
        <v>-509</v>
      </c>
      <c r="J23" s="101">
        <f t="shared" si="3"/>
        <v>-13.664429530201341</v>
      </c>
      <c r="K23" s="9">
        <f t="shared" si="5"/>
        <v>-49</v>
      </c>
      <c r="L23" s="7">
        <f t="shared" si="4"/>
        <v>-2.202247191011236</v>
      </c>
      <c r="N23" s="9">
        <f>RANK(F23,F8:F32,0)</f>
        <v>14</v>
      </c>
      <c r="O23" s="9">
        <f>RANK(F23,F8:F32,1)</f>
        <v>12</v>
      </c>
    </row>
    <row r="24" spans="2:15" x14ac:dyDescent="0.25">
      <c r="B24" s="16" t="s">
        <v>30</v>
      </c>
      <c r="C24" s="50">
        <v>5306</v>
      </c>
      <c r="D24" s="9">
        <v>3591</v>
      </c>
      <c r="E24" s="100">
        <f t="shared" si="0"/>
        <v>67.678100263852244</v>
      </c>
      <c r="F24" s="50">
        <v>4923</v>
      </c>
      <c r="G24" s="9">
        <v>3551</v>
      </c>
      <c r="H24" s="7">
        <f t="shared" si="1"/>
        <v>72.130814543977252</v>
      </c>
      <c r="I24" s="50">
        <f t="shared" si="2"/>
        <v>-383</v>
      </c>
      <c r="J24" s="101">
        <f t="shared" si="3"/>
        <v>-7.218243497926875</v>
      </c>
      <c r="K24" s="9">
        <f t="shared" si="5"/>
        <v>-40</v>
      </c>
      <c r="L24" s="7">
        <f t="shared" si="4"/>
        <v>-1.1138958507379559</v>
      </c>
      <c r="N24" s="9">
        <f>RANK(F24,F8:F32,0)</f>
        <v>4</v>
      </c>
      <c r="O24" s="9">
        <f>RANK(F24,F8:F32,1)</f>
        <v>22</v>
      </c>
    </row>
    <row r="25" spans="2:15" x14ac:dyDescent="0.25">
      <c r="B25" s="16" t="s">
        <v>31</v>
      </c>
      <c r="C25" s="50">
        <v>3374</v>
      </c>
      <c r="D25" s="9">
        <v>2166</v>
      </c>
      <c r="E25" s="100">
        <f t="shared" si="0"/>
        <v>64.196799051570835</v>
      </c>
      <c r="F25" s="50">
        <v>3376</v>
      </c>
      <c r="G25" s="9">
        <v>2347</v>
      </c>
      <c r="H25" s="7">
        <f t="shared" si="1"/>
        <v>69.520142180094794</v>
      </c>
      <c r="I25" s="50">
        <f t="shared" si="2"/>
        <v>2</v>
      </c>
      <c r="J25" s="101">
        <f t="shared" si="3"/>
        <v>5.9276822762299938E-2</v>
      </c>
      <c r="K25" s="9">
        <f t="shared" si="5"/>
        <v>181</v>
      </c>
      <c r="L25" s="7">
        <f t="shared" si="4"/>
        <v>8.3564173591874411</v>
      </c>
      <c r="N25" s="9">
        <f>RANK(F25,F8:F32,0)</f>
        <v>10</v>
      </c>
      <c r="O25" s="9">
        <f>RANK(F25,F8:F32,1)</f>
        <v>16</v>
      </c>
    </row>
    <row r="26" spans="2:15" x14ac:dyDescent="0.25">
      <c r="B26" s="16" t="s">
        <v>32</v>
      </c>
      <c r="C26" s="50">
        <v>3332</v>
      </c>
      <c r="D26" s="9">
        <v>2008</v>
      </c>
      <c r="E26" s="100">
        <f t="shared" si="0"/>
        <v>60.264105642256908</v>
      </c>
      <c r="F26" s="50">
        <v>3099</v>
      </c>
      <c r="G26" s="9">
        <v>1973</v>
      </c>
      <c r="H26" s="7">
        <f t="shared" si="1"/>
        <v>63.665698612455635</v>
      </c>
      <c r="I26" s="50">
        <f t="shared" si="2"/>
        <v>-233</v>
      </c>
      <c r="J26" s="101">
        <f t="shared" si="3"/>
        <v>-6.9927971188475393</v>
      </c>
      <c r="K26" s="9">
        <f t="shared" si="5"/>
        <v>-35</v>
      </c>
      <c r="L26" s="7">
        <f t="shared" si="4"/>
        <v>-1.7430278884462149</v>
      </c>
      <c r="N26" s="9">
        <f>RANK(F26,F8:F32,0)</f>
        <v>15</v>
      </c>
      <c r="O26" s="9">
        <f>RANK(F26,F8:F32,1)</f>
        <v>11</v>
      </c>
    </row>
    <row r="27" spans="2:15" x14ac:dyDescent="0.25">
      <c r="B27" s="16" t="s">
        <v>33</v>
      </c>
      <c r="C27" s="50">
        <v>3543</v>
      </c>
      <c r="D27" s="9">
        <v>2379</v>
      </c>
      <c r="E27" s="100">
        <f t="shared" si="0"/>
        <v>67.14648602878917</v>
      </c>
      <c r="F27" s="50">
        <v>3262</v>
      </c>
      <c r="G27" s="9">
        <v>2266</v>
      </c>
      <c r="H27" s="7">
        <f t="shared" si="1"/>
        <v>69.466584917228687</v>
      </c>
      <c r="I27" s="50">
        <f t="shared" si="2"/>
        <v>-281</v>
      </c>
      <c r="J27" s="101">
        <f t="shared" si="3"/>
        <v>-7.9311318092012417</v>
      </c>
      <c r="K27" s="9">
        <f t="shared" si="5"/>
        <v>-113</v>
      </c>
      <c r="L27" s="7">
        <f t="shared" si="4"/>
        <v>-4.7498949138293405</v>
      </c>
      <c r="N27" s="9">
        <f>RANK(F27,F8:F32,0)</f>
        <v>13</v>
      </c>
      <c r="O27" s="9">
        <f>RANK(F27,F8:F32,1)</f>
        <v>13</v>
      </c>
    </row>
    <row r="28" spans="2:15" x14ac:dyDescent="0.25">
      <c r="B28" s="16" t="s">
        <v>34</v>
      </c>
      <c r="C28" s="50">
        <v>1853</v>
      </c>
      <c r="D28" s="9">
        <v>1254</v>
      </c>
      <c r="E28" s="100">
        <f t="shared" si="0"/>
        <v>67.674042093901775</v>
      </c>
      <c r="F28" s="50">
        <v>1645</v>
      </c>
      <c r="G28" s="9">
        <v>1198</v>
      </c>
      <c r="H28" s="7">
        <f t="shared" si="1"/>
        <v>72.826747720364736</v>
      </c>
      <c r="I28" s="50">
        <f t="shared" si="2"/>
        <v>-208</v>
      </c>
      <c r="J28" s="101">
        <f t="shared" si="3"/>
        <v>-11.225040474905558</v>
      </c>
      <c r="K28" s="9">
        <f t="shared" si="5"/>
        <v>-56</v>
      </c>
      <c r="L28" s="7">
        <f t="shared" si="4"/>
        <v>-4.4657097288676235</v>
      </c>
      <c r="N28" s="9">
        <f>RANK(F28,F8:F32,0)</f>
        <v>21</v>
      </c>
      <c r="O28" s="9">
        <f>RANK(F28,F8:F32,1)</f>
        <v>5</v>
      </c>
    </row>
    <row r="29" spans="2:15" x14ac:dyDescent="0.25">
      <c r="B29" s="16" t="s">
        <v>240</v>
      </c>
      <c r="C29" s="50">
        <v>1405</v>
      </c>
      <c r="D29" s="9">
        <v>777</v>
      </c>
      <c r="E29" s="100">
        <f t="shared" si="0"/>
        <v>55.302491103202847</v>
      </c>
      <c r="F29" s="50">
        <v>1328</v>
      </c>
      <c r="G29" s="9">
        <v>787</v>
      </c>
      <c r="H29" s="7">
        <f t="shared" si="1"/>
        <v>59.26204819277109</v>
      </c>
      <c r="I29" s="50">
        <f t="shared" si="2"/>
        <v>-77</v>
      </c>
      <c r="J29" s="101">
        <f t="shared" si="3"/>
        <v>-5.4804270462633458</v>
      </c>
      <c r="K29" s="9">
        <f t="shared" si="5"/>
        <v>10</v>
      </c>
      <c r="L29" s="7">
        <f t="shared" si="4"/>
        <v>1.287001287001287</v>
      </c>
      <c r="N29" s="9">
        <f>RANK(F29,F8:F32,0)</f>
        <v>24</v>
      </c>
      <c r="O29" s="9">
        <f>RANK(F29,F8:F32,1)</f>
        <v>2</v>
      </c>
    </row>
    <row r="30" spans="2:15" x14ac:dyDescent="0.25">
      <c r="B30" s="16" t="s">
        <v>241</v>
      </c>
      <c r="C30" s="50">
        <v>2500</v>
      </c>
      <c r="D30" s="9">
        <v>1382</v>
      </c>
      <c r="E30" s="100">
        <f t="shared" si="0"/>
        <v>55.279999999999994</v>
      </c>
      <c r="F30" s="50">
        <v>2322</v>
      </c>
      <c r="G30" s="9">
        <v>1404</v>
      </c>
      <c r="H30" s="7">
        <f t="shared" si="1"/>
        <v>60.465116279069761</v>
      </c>
      <c r="I30" s="50">
        <f t="shared" si="2"/>
        <v>-178</v>
      </c>
      <c r="J30" s="101">
        <f t="shared" si="3"/>
        <v>-7.12</v>
      </c>
      <c r="K30" s="9">
        <f t="shared" si="5"/>
        <v>22</v>
      </c>
      <c r="L30" s="7">
        <f t="shared" si="4"/>
        <v>1.5918958031837915</v>
      </c>
      <c r="N30" s="9">
        <f>RANK(F30,F8:F32,0)</f>
        <v>18</v>
      </c>
      <c r="O30" s="9">
        <f>RANK(F30,F8:F32,1)</f>
        <v>8</v>
      </c>
    </row>
    <row r="31" spans="2:15" x14ac:dyDescent="0.25">
      <c r="B31" s="16" t="s">
        <v>242</v>
      </c>
      <c r="C31" s="50">
        <v>5988</v>
      </c>
      <c r="D31" s="9">
        <v>3973</v>
      </c>
      <c r="E31" s="100">
        <f t="shared" si="0"/>
        <v>66.349365397461597</v>
      </c>
      <c r="F31" s="50">
        <v>5885</v>
      </c>
      <c r="G31" s="9">
        <v>4164</v>
      </c>
      <c r="H31" s="7">
        <f t="shared" si="1"/>
        <v>70.756159728122341</v>
      </c>
      <c r="I31" s="50">
        <f t="shared" si="2"/>
        <v>-103</v>
      </c>
      <c r="J31" s="101">
        <f t="shared" si="3"/>
        <v>-1.7201068804275215</v>
      </c>
      <c r="K31" s="9">
        <f t="shared" si="5"/>
        <v>191</v>
      </c>
      <c r="L31" s="7">
        <f t="shared" si="4"/>
        <v>4.8074502894538131</v>
      </c>
      <c r="N31" s="9">
        <f>RANK(F31,F8:F32,0)</f>
        <v>1</v>
      </c>
      <c r="O31" s="9">
        <f>RANK(F31,F8:F32,1)</f>
        <v>25</v>
      </c>
    </row>
    <row r="32" spans="2:15" ht="15.75" thickBot="1" x14ac:dyDescent="0.3">
      <c r="B32" s="17" t="s">
        <v>243</v>
      </c>
      <c r="C32" s="3">
        <v>1603</v>
      </c>
      <c r="D32" s="5">
        <v>1050</v>
      </c>
      <c r="E32" s="102">
        <f t="shared" si="0"/>
        <v>65.502183406113531</v>
      </c>
      <c r="F32" s="3">
        <v>1329</v>
      </c>
      <c r="G32" s="5">
        <v>904</v>
      </c>
      <c r="H32" s="8">
        <f t="shared" si="1"/>
        <v>68.021068472535745</v>
      </c>
      <c r="I32" s="3">
        <f t="shared" si="2"/>
        <v>-274</v>
      </c>
      <c r="J32" s="47">
        <f t="shared" si="3"/>
        <v>-17.092950717404864</v>
      </c>
      <c r="K32" s="5">
        <f t="shared" si="5"/>
        <v>-146</v>
      </c>
      <c r="L32" s="8">
        <f t="shared" si="4"/>
        <v>-13.904761904761905</v>
      </c>
      <c r="N32" s="5">
        <f>RANK(F32,F8:F32,0)</f>
        <v>23</v>
      </c>
      <c r="O32" s="5">
        <f>RANK(F32,F8:F32,1)</f>
        <v>3</v>
      </c>
    </row>
  </sheetData>
  <mergeCells count="11">
    <mergeCell ref="B3:B6"/>
    <mergeCell ref="C5:C6"/>
    <mergeCell ref="C3:L3"/>
    <mergeCell ref="F4:H4"/>
    <mergeCell ref="C4:E4"/>
    <mergeCell ref="I4:L4"/>
    <mergeCell ref="F5:F6"/>
    <mergeCell ref="G5:H5"/>
    <mergeCell ref="D5:E5"/>
    <mergeCell ref="I5:J5"/>
    <mergeCell ref="K5:L5"/>
  </mergeCells>
  <pageMargins left="1.299212598425197" right="0" top="0.6692913385826772" bottom="0" header="0" footer="0"/>
  <pageSetup paperSize="9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B1:L35"/>
  <sheetViews>
    <sheetView zoomScale="80" zoomScaleNormal="80" workbookViewId="0">
      <selection activeCell="B1" sqref="B1"/>
    </sheetView>
  </sheetViews>
  <sheetFormatPr defaultColWidth="9.140625" defaultRowHeight="15" x14ac:dyDescent="0.25"/>
  <cols>
    <col min="1" max="1" width="2.28515625" style="77" customWidth="1"/>
    <col min="2" max="2" width="36.7109375" style="77" customWidth="1"/>
    <col min="3" max="3" width="10.5703125" style="77" customWidth="1"/>
    <col min="4" max="4" width="10.7109375" style="77" customWidth="1"/>
    <col min="5" max="5" width="10.5703125" style="77" customWidth="1"/>
    <col min="6" max="6" width="10.28515625" style="77" customWidth="1"/>
    <col min="7" max="7" width="14" style="77" customWidth="1"/>
    <col min="8" max="8" width="9" style="77" customWidth="1"/>
    <col min="9" max="9" width="2.42578125" style="77" customWidth="1"/>
    <col min="10" max="10" width="5.140625" style="284" customWidth="1"/>
    <col min="11" max="11" width="24" style="77" customWidth="1"/>
    <col min="12" max="12" width="25.28515625" style="344" customWidth="1"/>
    <col min="13" max="16384" width="9.140625" style="77"/>
  </cols>
  <sheetData>
    <row r="1" spans="2:12" x14ac:dyDescent="0.25">
      <c r="B1" s="11" t="s">
        <v>446</v>
      </c>
      <c r="C1" s="11"/>
      <c r="D1" s="11"/>
      <c r="E1" s="11"/>
      <c r="F1" s="11"/>
      <c r="G1" s="11"/>
      <c r="H1" s="11"/>
      <c r="I1" s="11"/>
    </row>
    <row r="2" spans="2:12" ht="15.75" thickBot="1" x14ac:dyDescent="0.3">
      <c r="B2" s="11" t="s">
        <v>316</v>
      </c>
      <c r="C2" s="11"/>
      <c r="D2" s="11"/>
      <c r="E2" s="11"/>
      <c r="F2" s="11"/>
      <c r="G2" s="11"/>
      <c r="H2" s="11"/>
      <c r="I2" s="11"/>
    </row>
    <row r="3" spans="2:12" ht="24" customHeight="1" x14ac:dyDescent="0.25">
      <c r="B3" s="1019" t="s">
        <v>137</v>
      </c>
      <c r="C3" s="1035" t="s">
        <v>478</v>
      </c>
      <c r="D3" s="1035"/>
      <c r="E3" s="1033" t="s">
        <v>508</v>
      </c>
      <c r="F3" s="1034"/>
      <c r="G3" s="1036" t="s">
        <v>425</v>
      </c>
      <c r="H3" s="1038" t="s">
        <v>347</v>
      </c>
      <c r="I3" s="354"/>
    </row>
    <row r="4" spans="2:12" ht="30.75" thickBot="1" x14ac:dyDescent="0.3">
      <c r="B4" s="1032"/>
      <c r="C4" s="608" t="s">
        <v>4</v>
      </c>
      <c r="D4" s="608" t="s">
        <v>92</v>
      </c>
      <c r="E4" s="609" t="s">
        <v>4</v>
      </c>
      <c r="F4" s="610" t="s">
        <v>92</v>
      </c>
      <c r="G4" s="1037"/>
      <c r="H4" s="1005"/>
      <c r="I4" s="354"/>
    </row>
    <row r="5" spans="2:12" ht="39.75" customHeight="1" thickBot="1" x14ac:dyDescent="0.3">
      <c r="B5" s="202" t="s">
        <v>274</v>
      </c>
      <c r="C5" s="165">
        <v>10664</v>
      </c>
      <c r="D5" s="165">
        <v>5450</v>
      </c>
      <c r="E5" s="43">
        <v>10487</v>
      </c>
      <c r="F5" s="45">
        <v>5346</v>
      </c>
      <c r="G5" s="167">
        <f>SUM(E5-C5)</f>
        <v>-177</v>
      </c>
      <c r="H5" s="44">
        <f>(E5-C5)*100/C5</f>
        <v>-1.6597899474868718</v>
      </c>
      <c r="I5" s="358"/>
      <c r="K5" s="288"/>
    </row>
    <row r="6" spans="2:12" ht="24.75" customHeight="1" x14ac:dyDescent="0.25">
      <c r="B6" s="114" t="s">
        <v>135</v>
      </c>
      <c r="C6" s="104">
        <v>10573</v>
      </c>
      <c r="D6" s="104">
        <v>5399</v>
      </c>
      <c r="E6" s="30">
        <v>10345</v>
      </c>
      <c r="F6" s="319">
        <v>5267</v>
      </c>
      <c r="G6" s="103">
        <f>SUM(E6-C6)</f>
        <v>-228</v>
      </c>
      <c r="H6" s="31">
        <f>(E6-C6)*100/C6</f>
        <v>-2.1564362054289226</v>
      </c>
      <c r="I6" s="359"/>
      <c r="K6" s="284"/>
      <c r="L6" s="362"/>
    </row>
    <row r="7" spans="2:12" ht="35.25" customHeight="1" x14ac:dyDescent="0.25">
      <c r="B7" s="115" t="s">
        <v>134</v>
      </c>
      <c r="C7" s="21">
        <v>1357</v>
      </c>
      <c r="D7" s="21">
        <v>670</v>
      </c>
      <c r="E7" s="400">
        <v>1457</v>
      </c>
      <c r="F7" s="401">
        <v>684</v>
      </c>
      <c r="G7" s="116">
        <f>SUM(E7-C7)</f>
        <v>100</v>
      </c>
      <c r="H7" s="117">
        <f>(E7-C7)*100/C7</f>
        <v>7.3691967575534267</v>
      </c>
      <c r="I7" s="359"/>
      <c r="K7" s="284"/>
      <c r="L7" s="362"/>
    </row>
    <row r="8" spans="2:12" ht="28.5" customHeight="1" thickBot="1" x14ac:dyDescent="0.3">
      <c r="B8" s="402" t="s">
        <v>362</v>
      </c>
      <c r="C8" s="19">
        <v>91</v>
      </c>
      <c r="D8" s="19">
        <v>51</v>
      </c>
      <c r="E8" s="18">
        <v>142</v>
      </c>
      <c r="F8" s="276">
        <v>79</v>
      </c>
      <c r="G8" s="88">
        <f>SUM(E8-C8)</f>
        <v>51</v>
      </c>
      <c r="H8" s="26">
        <f>(E8-C8)*100/C8</f>
        <v>56.043956043956044</v>
      </c>
      <c r="I8" s="359"/>
      <c r="K8" s="284"/>
      <c r="L8" s="362"/>
    </row>
    <row r="9" spans="2:12" ht="18" customHeight="1" thickBot="1" x14ac:dyDescent="0.3">
      <c r="B9" s="1029" t="s">
        <v>138</v>
      </c>
      <c r="C9" s="1030"/>
      <c r="D9" s="1030"/>
      <c r="E9" s="1030"/>
      <c r="F9" s="1030"/>
      <c r="G9" s="1030"/>
      <c r="H9" s="1031"/>
      <c r="I9" s="360"/>
    </row>
    <row r="10" spans="2:12" ht="15.75" customHeight="1" x14ac:dyDescent="0.25">
      <c r="B10" s="53" t="s">
        <v>14</v>
      </c>
      <c r="C10" s="104">
        <v>153</v>
      </c>
      <c r="D10" s="104">
        <v>80</v>
      </c>
      <c r="E10" s="36">
        <v>137</v>
      </c>
      <c r="F10" s="274">
        <v>73</v>
      </c>
      <c r="G10" s="103">
        <f t="shared" ref="G10:G34" si="0">SUM(E10-C10)</f>
        <v>-16</v>
      </c>
      <c r="H10" s="363">
        <f t="shared" ref="H10:H34" si="1">(E10-C10)*100/C10</f>
        <v>-10.457516339869281</v>
      </c>
      <c r="I10" s="361"/>
      <c r="J10" s="516">
        <f>RANK(H10,$H$10:$H$34,1)+COUNTIF($H$10:H10,H10)-1</f>
        <v>6</v>
      </c>
      <c r="K10" s="377" t="str">
        <f>INDEX(B10:H34,MATCH(1,J10:J34,0),1)</f>
        <v>brzozowski</v>
      </c>
      <c r="L10" s="972">
        <f>INDEX(B10:H34,MATCH(1,J10:J34,0),7)</f>
        <v>-13.095238095238095</v>
      </c>
    </row>
    <row r="11" spans="2:12" x14ac:dyDescent="0.25">
      <c r="B11" s="12" t="s">
        <v>15</v>
      </c>
      <c r="C11" s="14">
        <v>588</v>
      </c>
      <c r="D11" s="14">
        <v>254</v>
      </c>
      <c r="E11" s="13">
        <v>511</v>
      </c>
      <c r="F11" s="275">
        <v>232</v>
      </c>
      <c r="G11" s="87">
        <f t="shared" si="0"/>
        <v>-77</v>
      </c>
      <c r="H11" s="105">
        <f t="shared" si="1"/>
        <v>-13.095238095238095</v>
      </c>
      <c r="I11" s="361"/>
      <c r="J11" s="516">
        <f>RANK(H11,$H$10:$H$34,1)+COUNTIF($H$11:H11,H11)-1</f>
        <v>1</v>
      </c>
      <c r="K11" s="377" t="str">
        <f>INDEX(B10:H34,MATCH(2,J10:J34,0),1)</f>
        <v>ropczycko-sędziszowski</v>
      </c>
      <c r="L11" s="972">
        <f>INDEX(B10:H34,MATCH(2,J10:J34,0),7)</f>
        <v>-12.087912087912088</v>
      </c>
    </row>
    <row r="12" spans="2:12" x14ac:dyDescent="0.25">
      <c r="B12" s="12" t="s">
        <v>16</v>
      </c>
      <c r="C12" s="14">
        <v>358</v>
      </c>
      <c r="D12" s="14">
        <v>198</v>
      </c>
      <c r="E12" s="13">
        <v>395</v>
      </c>
      <c r="F12" s="275">
        <v>206</v>
      </c>
      <c r="G12" s="87">
        <f t="shared" si="0"/>
        <v>37</v>
      </c>
      <c r="H12" s="105">
        <f t="shared" si="1"/>
        <v>10.335195530726256</v>
      </c>
      <c r="I12" s="361"/>
      <c r="J12" s="516">
        <f>RANK(H12,$H$10:$H$34,1)+COUNTIF($H$12:H12,H12)-1</f>
        <v>20</v>
      </c>
      <c r="K12" s="377" t="str">
        <f>INDEX(B10:H34,MATCH(3,J10:J34,0),1)</f>
        <v>sanocki</v>
      </c>
      <c r="L12" s="972">
        <f>INDEX(B10:H34,MATCH(3,J10:J34,0),7)</f>
        <v>-11.891891891891891</v>
      </c>
    </row>
    <row r="13" spans="2:12" x14ac:dyDescent="0.25">
      <c r="B13" s="12" t="s">
        <v>17</v>
      </c>
      <c r="C13" s="14">
        <v>716</v>
      </c>
      <c r="D13" s="14">
        <v>339</v>
      </c>
      <c r="E13" s="13">
        <v>749</v>
      </c>
      <c r="F13" s="275">
        <v>399</v>
      </c>
      <c r="G13" s="87">
        <f t="shared" si="0"/>
        <v>33</v>
      </c>
      <c r="H13" s="105">
        <f t="shared" si="1"/>
        <v>4.6089385474860336</v>
      </c>
      <c r="I13" s="361"/>
      <c r="J13" s="516">
        <f>RANK(H13,$H$10:$H$34,1)+COUNTIF($H$13:H13,H13)-1</f>
        <v>17</v>
      </c>
      <c r="K13" s="377" t="str">
        <f>INDEX(B10:H34,MATCH(4,J10:J34,0),1)</f>
        <v>niżański</v>
      </c>
      <c r="L13" s="972">
        <f>INDEX(B10:H34,MATCH(4,J10:J34,0),7)</f>
        <v>-11.708253358925145</v>
      </c>
    </row>
    <row r="14" spans="2:12" x14ac:dyDescent="0.25">
      <c r="B14" s="12" t="s">
        <v>18</v>
      </c>
      <c r="C14" s="14">
        <v>692</v>
      </c>
      <c r="D14" s="14">
        <v>356</v>
      </c>
      <c r="E14" s="13">
        <v>626</v>
      </c>
      <c r="F14" s="275">
        <v>304</v>
      </c>
      <c r="G14" s="87">
        <f>SUM(E14-C14)</f>
        <v>-66</v>
      </c>
      <c r="H14" s="105">
        <f t="shared" si="1"/>
        <v>-9.5375722543352595</v>
      </c>
      <c r="I14" s="361"/>
      <c r="J14" s="516">
        <f>RANK(H14,$H$10:$H$34,1)+COUNTIF($H$14:H14,H14)-1</f>
        <v>7</v>
      </c>
      <c r="K14" s="377" t="str">
        <f>INDEX(B10:H34,MATCH(5,J10:J34,0),1)</f>
        <v>przemyski</v>
      </c>
      <c r="L14" s="972">
        <f>INDEX(B10:H34,MATCH(5,J10:J34,0),7)</f>
        <v>-11.597374179431073</v>
      </c>
    </row>
    <row r="15" spans="2:12" x14ac:dyDescent="0.25">
      <c r="B15" s="12" t="s">
        <v>19</v>
      </c>
      <c r="C15" s="14">
        <v>360</v>
      </c>
      <c r="D15" s="14">
        <v>179</v>
      </c>
      <c r="E15" s="13">
        <v>335</v>
      </c>
      <c r="F15" s="275">
        <v>178</v>
      </c>
      <c r="G15" s="87">
        <f>SUM(E15-C15)</f>
        <v>-25</v>
      </c>
      <c r="H15" s="105">
        <f t="shared" si="1"/>
        <v>-6.9444444444444446</v>
      </c>
      <c r="I15" s="361"/>
      <c r="J15" s="516">
        <f>RANK(H15,$H$10:$H$34,1)+COUNTIF($H$15:H15,H15)-1</f>
        <v>10</v>
      </c>
      <c r="K15" s="377" t="str">
        <f>INDEX(B10:H34,MATCH(6,J10:J34,0),1)</f>
        <v>bieszczadzki</v>
      </c>
      <c r="L15" s="972">
        <f>INDEX(B10:H34,MATCH(6,J10:J34,0),7)</f>
        <v>-10.457516339869281</v>
      </c>
    </row>
    <row r="16" spans="2:12" x14ac:dyDescent="0.25">
      <c r="B16" s="12" t="s">
        <v>20</v>
      </c>
      <c r="C16" s="14">
        <v>508</v>
      </c>
      <c r="D16" s="14">
        <v>296</v>
      </c>
      <c r="E16" s="13">
        <v>469</v>
      </c>
      <c r="F16" s="275">
        <v>264</v>
      </c>
      <c r="G16" s="87">
        <f t="shared" si="0"/>
        <v>-39</v>
      </c>
      <c r="H16" s="105">
        <f t="shared" si="1"/>
        <v>-7.6771653543307083</v>
      </c>
      <c r="I16" s="361"/>
      <c r="J16" s="516">
        <f>RANK(H16,$H$10:$H$34,1)+COUNTIF($H$16:H16,H16)-1</f>
        <v>9</v>
      </c>
      <c r="K16" s="377" t="str">
        <f>INDEX(B10:H34,MATCH(7,J10:J34,0),1)</f>
        <v>jasielski</v>
      </c>
      <c r="L16" s="972">
        <f>INDEX(B10:H34,MATCH(7,J10:J34,0),7)</f>
        <v>-9.5375722543352595</v>
      </c>
    </row>
    <row r="17" spans="2:12" x14ac:dyDescent="0.25">
      <c r="B17" s="12" t="s">
        <v>21</v>
      </c>
      <c r="C17" s="14">
        <v>267</v>
      </c>
      <c r="D17" s="14">
        <v>151</v>
      </c>
      <c r="E17" s="13">
        <v>251</v>
      </c>
      <c r="F17" s="275">
        <v>135</v>
      </c>
      <c r="G17" s="87">
        <f t="shared" si="0"/>
        <v>-16</v>
      </c>
      <c r="H17" s="105">
        <f t="shared" si="1"/>
        <v>-5.9925093632958806</v>
      </c>
      <c r="I17" s="361"/>
      <c r="J17" s="516">
        <f>RANK(H17,$H$10:$H$34,1)+COUNTIF($H$17:H17,H17)-1</f>
        <v>11</v>
      </c>
      <c r="K17" s="377" t="str">
        <f>INDEX(B10:H34,MATCH(8,J10:J34,0),1)</f>
        <v>leżajski</v>
      </c>
      <c r="L17" s="972">
        <f>INDEX(B10:H34,MATCH(8,J10:J34,0),7)</f>
        <v>-7.7272727272727275</v>
      </c>
    </row>
    <row r="18" spans="2:12" x14ac:dyDescent="0.25">
      <c r="B18" s="12" t="s">
        <v>22</v>
      </c>
      <c r="C18" s="14">
        <v>440</v>
      </c>
      <c r="D18" s="14">
        <v>204</v>
      </c>
      <c r="E18" s="13">
        <v>406</v>
      </c>
      <c r="F18" s="275">
        <v>201</v>
      </c>
      <c r="G18" s="87">
        <f t="shared" si="0"/>
        <v>-34</v>
      </c>
      <c r="H18" s="105">
        <f t="shared" si="1"/>
        <v>-7.7272727272727275</v>
      </c>
      <c r="I18" s="361"/>
      <c r="J18" s="516">
        <f>RANK(H18,$H$10:$H$34,1)+COUNTIF($H$18:H18,H18)-1</f>
        <v>8</v>
      </c>
      <c r="K18" s="377" t="str">
        <f>INDEX(B10:H34,MATCH(9,J10:J34,0),1)</f>
        <v>krośnieński</v>
      </c>
      <c r="L18" s="972">
        <f>INDEX(B10:H34,MATCH(9,J10:J34,0),7)</f>
        <v>-7.6771653543307083</v>
      </c>
    </row>
    <row r="19" spans="2:12" x14ac:dyDescent="0.25">
      <c r="B19" s="12" t="s">
        <v>23</v>
      </c>
      <c r="C19" s="14">
        <v>276</v>
      </c>
      <c r="D19" s="14">
        <v>129</v>
      </c>
      <c r="E19" s="13">
        <v>280</v>
      </c>
      <c r="F19" s="275">
        <v>115</v>
      </c>
      <c r="G19" s="87">
        <f t="shared" si="0"/>
        <v>4</v>
      </c>
      <c r="H19" s="105">
        <f t="shared" si="1"/>
        <v>1.4492753623188406</v>
      </c>
      <c r="I19" s="361"/>
      <c r="J19" s="516">
        <f>RANK(H19,$H$10:$H$34,1)+COUNTIF($H$19:H19,H19)-1</f>
        <v>16</v>
      </c>
      <c r="K19" s="377" t="str">
        <f>INDEX(B10:H34,MATCH(10,J10:J34,0),1)</f>
        <v>kolbuszowski</v>
      </c>
      <c r="L19" s="972">
        <f>INDEX(B10:H34,MATCH(10,J10:J34,0),7)</f>
        <v>-6.9444444444444446</v>
      </c>
    </row>
    <row r="20" spans="2:12" x14ac:dyDescent="0.25">
      <c r="B20" s="12" t="s">
        <v>24</v>
      </c>
      <c r="C20" s="14">
        <v>558</v>
      </c>
      <c r="D20" s="14">
        <v>298</v>
      </c>
      <c r="E20" s="13">
        <v>537</v>
      </c>
      <c r="F20" s="275">
        <v>261</v>
      </c>
      <c r="G20" s="87">
        <f t="shared" si="0"/>
        <v>-21</v>
      </c>
      <c r="H20" s="105">
        <f t="shared" si="1"/>
        <v>-3.763440860215054</v>
      </c>
      <c r="I20" s="361"/>
      <c r="J20" s="516">
        <f>RANK(H20,$H$10:$H$34,1)+COUNTIF($H$20:H20,H20)-1</f>
        <v>13</v>
      </c>
      <c r="K20" s="377" t="str">
        <f>INDEX(B10:H34,MATCH(11,J10:J34,0),1)</f>
        <v>leski</v>
      </c>
      <c r="L20" s="972">
        <f>INDEX(B10:H34,MATCH(11,J10:J34,0),7)</f>
        <v>-5.9925093632958806</v>
      </c>
    </row>
    <row r="21" spans="2:12" x14ac:dyDescent="0.25">
      <c r="B21" s="12" t="s">
        <v>25</v>
      </c>
      <c r="C21" s="14">
        <v>442</v>
      </c>
      <c r="D21" s="14">
        <v>230</v>
      </c>
      <c r="E21" s="13">
        <v>484</v>
      </c>
      <c r="F21" s="275">
        <v>254</v>
      </c>
      <c r="G21" s="87">
        <f t="shared" si="0"/>
        <v>42</v>
      </c>
      <c r="H21" s="105">
        <f t="shared" si="1"/>
        <v>9.502262443438914</v>
      </c>
      <c r="I21" s="361"/>
      <c r="J21" s="516">
        <f>RANK(H21,$H$10:$H$34,1)+COUNTIF($H$21:H21,H21)-1</f>
        <v>19</v>
      </c>
      <c r="K21" s="377" t="str">
        <f>INDEX(B10:H34,MATCH(12,J10:J34,0),1)</f>
        <v>tarnobrzeski</v>
      </c>
      <c r="L21" s="972">
        <f>INDEX(B10:H34,MATCH(12,J10:J34,0),7)</f>
        <v>-5.1282051282051286</v>
      </c>
    </row>
    <row r="22" spans="2:12" x14ac:dyDescent="0.25">
      <c r="B22" s="12" t="s">
        <v>26</v>
      </c>
      <c r="C22" s="14">
        <v>521</v>
      </c>
      <c r="D22" s="14">
        <v>269</v>
      </c>
      <c r="E22" s="13">
        <v>460</v>
      </c>
      <c r="F22" s="275">
        <v>227</v>
      </c>
      <c r="G22" s="87">
        <f t="shared" si="0"/>
        <v>-61</v>
      </c>
      <c r="H22" s="105">
        <f t="shared" si="1"/>
        <v>-11.708253358925145</v>
      </c>
      <c r="I22" s="361"/>
      <c r="J22" s="516">
        <f>RANK(H22,$H$10:$H$34,1)+COUNTIF($H$22:H22,H22)-1</f>
        <v>4</v>
      </c>
      <c r="K22" s="377" t="str">
        <f>INDEX(B10:H34,MATCH(13,J10:J34,0),1)</f>
        <v>łańcucki</v>
      </c>
      <c r="L22" s="972">
        <f>INDEX(B10:H34,MATCH(13,J10:J34,0),7)</f>
        <v>-3.763440860215054</v>
      </c>
    </row>
    <row r="23" spans="2:12" x14ac:dyDescent="0.25">
      <c r="B23" s="16" t="s">
        <v>27</v>
      </c>
      <c r="C23" s="107">
        <v>457</v>
      </c>
      <c r="D23" s="107">
        <v>216</v>
      </c>
      <c r="E23" s="106">
        <v>404</v>
      </c>
      <c r="F23" s="320">
        <v>186</v>
      </c>
      <c r="G23" s="87">
        <f t="shared" si="0"/>
        <v>-53</v>
      </c>
      <c r="H23" s="105">
        <f t="shared" si="1"/>
        <v>-11.597374179431073</v>
      </c>
      <c r="I23" s="361"/>
      <c r="J23" s="516">
        <f>RANK(H23,$H$10:$H$34,1)+COUNTIF($H$23:H23,H23)-1</f>
        <v>5</v>
      </c>
      <c r="K23" s="377" t="str">
        <f>INDEX(B10:H34,MATCH(14,J10:J34,0),1)</f>
        <v>strzyżowski</v>
      </c>
      <c r="L23" s="972">
        <f>INDEX(B10:H34,MATCH(14,J10:J34,0),7)</f>
        <v>-3.7422037422037424</v>
      </c>
    </row>
    <row r="24" spans="2:12" x14ac:dyDescent="0.25">
      <c r="B24" s="16" t="s">
        <v>28</v>
      </c>
      <c r="C24" s="107">
        <v>520</v>
      </c>
      <c r="D24" s="107">
        <v>252</v>
      </c>
      <c r="E24" s="106">
        <v>600</v>
      </c>
      <c r="F24" s="320">
        <v>295</v>
      </c>
      <c r="G24" s="87">
        <f t="shared" si="0"/>
        <v>80</v>
      </c>
      <c r="H24" s="105">
        <f t="shared" si="1"/>
        <v>15.384615384615385</v>
      </c>
      <c r="I24" s="361"/>
      <c r="J24" s="516">
        <f>RANK(H24,$H$10:$H$34,1)+COUNTIF($H$24:H24,H24)-1</f>
        <v>23</v>
      </c>
      <c r="K24" s="377" t="str">
        <f>INDEX(B10:H34,MATCH(15,J10:J34,0),1)</f>
        <v>Przemyśl</v>
      </c>
      <c r="L24" s="972">
        <f>INDEX(B10:H34,MATCH(15,J10:J34,0),7)</f>
        <v>-1.4760147601476015</v>
      </c>
    </row>
    <row r="25" spans="2:12" x14ac:dyDescent="0.25">
      <c r="B25" s="16" t="s">
        <v>29</v>
      </c>
      <c r="C25" s="107">
        <v>546</v>
      </c>
      <c r="D25" s="107">
        <v>315</v>
      </c>
      <c r="E25" s="106">
        <v>480</v>
      </c>
      <c r="F25" s="320">
        <v>250</v>
      </c>
      <c r="G25" s="87">
        <f t="shared" si="0"/>
        <v>-66</v>
      </c>
      <c r="H25" s="105">
        <f t="shared" si="1"/>
        <v>-12.087912087912088</v>
      </c>
      <c r="I25" s="361"/>
      <c r="J25" s="516">
        <f>RANK(H25,$H$10:$H$34,1)+COUNTIF($H$25:H25,H25)-1</f>
        <v>2</v>
      </c>
      <c r="K25" s="377" t="str">
        <f>INDEX(B10:H34,MATCH(16,J10:J34,0),1)</f>
        <v>lubaczowski</v>
      </c>
      <c r="L25" s="972">
        <f>INDEX(B10:H34,MATCH(16,J10:J34,0),7)</f>
        <v>1.4492753623188406</v>
      </c>
    </row>
    <row r="26" spans="2:12" x14ac:dyDescent="0.25">
      <c r="B26" s="16" t="s">
        <v>30</v>
      </c>
      <c r="C26" s="107">
        <v>611</v>
      </c>
      <c r="D26" s="107">
        <v>323</v>
      </c>
      <c r="E26" s="106">
        <v>678</v>
      </c>
      <c r="F26" s="320">
        <v>370</v>
      </c>
      <c r="G26" s="87">
        <f t="shared" si="0"/>
        <v>67</v>
      </c>
      <c r="H26" s="105">
        <f t="shared" si="1"/>
        <v>10.965630114566284</v>
      </c>
      <c r="I26" s="361"/>
      <c r="J26" s="516">
        <f>RANK(H26,$H$10:$H$34,1)+COUNTIF($H$26:H26,H26)-1</f>
        <v>21</v>
      </c>
      <c r="K26" s="377" t="str">
        <f>INDEX(B10:H34,MATCH(17,J10:J34,0),1)</f>
        <v>jarosławski</v>
      </c>
      <c r="L26" s="972">
        <f>INDEX(B10:H34,MATCH(17,J10:J34,0),7)</f>
        <v>4.6089385474860336</v>
      </c>
    </row>
    <row r="27" spans="2:12" x14ac:dyDescent="0.25">
      <c r="B27" s="16" t="s">
        <v>31</v>
      </c>
      <c r="C27" s="107">
        <v>555</v>
      </c>
      <c r="D27" s="107">
        <v>265</v>
      </c>
      <c r="E27" s="106">
        <v>489</v>
      </c>
      <c r="F27" s="320">
        <v>239</v>
      </c>
      <c r="G27" s="87">
        <f t="shared" si="0"/>
        <v>-66</v>
      </c>
      <c r="H27" s="105">
        <f t="shared" si="1"/>
        <v>-11.891891891891891</v>
      </c>
      <c r="I27" s="361"/>
      <c r="J27" s="516">
        <f>RANK(H27,$H$10:$H$34,1)+COUNTIF($H$27:H27,H27)-1</f>
        <v>3</v>
      </c>
      <c r="K27" s="377" t="str">
        <f>INDEX(B10:H34,MATCH(18,J10:J34,0),1)</f>
        <v>Rzeszów</v>
      </c>
      <c r="L27" s="972">
        <f>INDEX(B10:H34,MATCH(18,J10:J34,0),7)</f>
        <v>7.1559633027522933</v>
      </c>
    </row>
    <row r="28" spans="2:12" x14ac:dyDescent="0.25">
      <c r="B28" s="16" t="s">
        <v>32</v>
      </c>
      <c r="C28" s="107">
        <v>308</v>
      </c>
      <c r="D28" s="107">
        <v>154</v>
      </c>
      <c r="E28" s="106">
        <v>355</v>
      </c>
      <c r="F28" s="320">
        <v>187</v>
      </c>
      <c r="G28" s="87">
        <f t="shared" si="0"/>
        <v>47</v>
      </c>
      <c r="H28" s="105">
        <f t="shared" si="1"/>
        <v>15.25974025974026</v>
      </c>
      <c r="I28" s="361"/>
      <c r="J28" s="516">
        <f>RANK(H28,$H$10:$H$34,1)+COUNTIF($H$28:H28,H28)-1</f>
        <v>22</v>
      </c>
      <c r="K28" s="377" t="str">
        <f>INDEX(B10:H34,MATCH(19,J10:J34,0),1)</f>
        <v>mielecki</v>
      </c>
      <c r="L28" s="972">
        <f>INDEX(B10:H34,MATCH(19,J10:J34,0),7)</f>
        <v>9.502262443438914</v>
      </c>
    </row>
    <row r="29" spans="2:12" x14ac:dyDescent="0.25">
      <c r="B29" s="16" t="s">
        <v>33</v>
      </c>
      <c r="C29" s="107">
        <v>481</v>
      </c>
      <c r="D29" s="107">
        <v>224</v>
      </c>
      <c r="E29" s="106">
        <v>463</v>
      </c>
      <c r="F29" s="320">
        <v>190</v>
      </c>
      <c r="G29" s="87">
        <f t="shared" si="0"/>
        <v>-18</v>
      </c>
      <c r="H29" s="105">
        <f t="shared" si="1"/>
        <v>-3.7422037422037424</v>
      </c>
      <c r="I29" s="361"/>
      <c r="J29" s="516">
        <f>RANK(H29,$H$10:$H$34,1)+COUNTIF($H$29:H29,H29)-1</f>
        <v>14</v>
      </c>
      <c r="K29" s="377" t="str">
        <f>INDEX(B10:H34,MATCH(20,J10:J34,0),1)</f>
        <v>dębicki</v>
      </c>
      <c r="L29" s="972">
        <f>INDEX(B10:H34,MATCH(20,J10:J34,0),7)</f>
        <v>10.335195530726256</v>
      </c>
    </row>
    <row r="30" spans="2:12" x14ac:dyDescent="0.25">
      <c r="B30" s="16" t="s">
        <v>34</v>
      </c>
      <c r="C30" s="107">
        <v>234</v>
      </c>
      <c r="D30" s="107">
        <v>127</v>
      </c>
      <c r="E30" s="106">
        <v>222</v>
      </c>
      <c r="F30" s="320">
        <v>126</v>
      </c>
      <c r="G30" s="87">
        <f t="shared" si="0"/>
        <v>-12</v>
      </c>
      <c r="H30" s="105">
        <f t="shared" si="1"/>
        <v>-5.1282051282051286</v>
      </c>
      <c r="I30" s="361"/>
      <c r="J30" s="516">
        <f>RANK(H30,$H$10:$H$34,1)+COUNTIF($H$30:H30,H30)-1</f>
        <v>12</v>
      </c>
      <c r="K30" s="377" t="str">
        <f>INDEX(B10:H34,MATCH(21,J10:J34,0),1)</f>
        <v>rzeszowski</v>
      </c>
      <c r="L30" s="972">
        <f>INDEX(B10:H34,MATCH(21,J10:J34,0),7)</f>
        <v>10.965630114566284</v>
      </c>
    </row>
    <row r="31" spans="2:12" x14ac:dyDescent="0.25">
      <c r="B31" s="16" t="s">
        <v>35</v>
      </c>
      <c r="C31" s="107">
        <v>123</v>
      </c>
      <c r="D31" s="107">
        <v>72</v>
      </c>
      <c r="E31" s="106">
        <v>143</v>
      </c>
      <c r="F31" s="320">
        <v>80</v>
      </c>
      <c r="G31" s="87">
        <f t="shared" si="0"/>
        <v>20</v>
      </c>
      <c r="H31" s="105">
        <f t="shared" si="1"/>
        <v>16.260162601626018</v>
      </c>
      <c r="I31" s="361"/>
      <c r="J31" s="516">
        <f>RANK(H31,$H$10:$H$34,1)+COUNTIF($H$31:H31,H31)-1</f>
        <v>24</v>
      </c>
      <c r="K31" s="377" t="str">
        <f>INDEX(B10:H34,MATCH(22,J10:J34,0),1)</f>
        <v>stalowowolski</v>
      </c>
      <c r="L31" s="972">
        <f>INDEX(B10:H34,MATCH(22,J10:J34,0),7)</f>
        <v>15.25974025974026</v>
      </c>
    </row>
    <row r="32" spans="2:12" x14ac:dyDescent="0.25">
      <c r="B32" s="16" t="s">
        <v>36</v>
      </c>
      <c r="C32" s="107">
        <v>271</v>
      </c>
      <c r="D32" s="107">
        <v>131</v>
      </c>
      <c r="E32" s="106">
        <v>267</v>
      </c>
      <c r="F32" s="320">
        <v>135</v>
      </c>
      <c r="G32" s="87">
        <f t="shared" si="0"/>
        <v>-4</v>
      </c>
      <c r="H32" s="105">
        <f>(E32-C32)*100/C32</f>
        <v>-1.4760147601476015</v>
      </c>
      <c r="I32" s="361"/>
      <c r="J32" s="516">
        <f>RANK(H32,$H$10:$H$34,1)+COUNTIF($H$32:H32,H32)-1</f>
        <v>15</v>
      </c>
      <c r="K32" s="377" t="str">
        <f>INDEX(B10:H34,MATCH(23,J10:J34,0),1)</f>
        <v>przeworski</v>
      </c>
      <c r="L32" s="972">
        <f>INDEX(B10:H34,MATCH(23,J10:J34,0),7)</f>
        <v>15.384615384615385</v>
      </c>
    </row>
    <row r="33" spans="2:12" x14ac:dyDescent="0.25">
      <c r="B33" s="16" t="s">
        <v>37</v>
      </c>
      <c r="C33" s="107">
        <v>545</v>
      </c>
      <c r="D33" s="107">
        <v>319</v>
      </c>
      <c r="E33" s="106">
        <v>584</v>
      </c>
      <c r="F33" s="320">
        <v>352</v>
      </c>
      <c r="G33" s="87">
        <f t="shared" si="0"/>
        <v>39</v>
      </c>
      <c r="H33" s="105">
        <f t="shared" si="1"/>
        <v>7.1559633027522933</v>
      </c>
      <c r="I33" s="361"/>
      <c r="J33" s="516">
        <f>RANK(H33,$H$10:$H$34,1)+COUNTIF($H$33:H33,H33)-1</f>
        <v>18</v>
      </c>
      <c r="K33" s="377" t="str">
        <f>INDEX(B10:H34,MATCH(24,J10:J34,0),1)</f>
        <v>Krosno</v>
      </c>
      <c r="L33" s="972">
        <f>INDEX(B10:H34,MATCH(24,J10:J34,0),7)</f>
        <v>16.260162601626018</v>
      </c>
    </row>
    <row r="34" spans="2:12" ht="15.75" thickBot="1" x14ac:dyDescent="0.3">
      <c r="B34" s="17" t="s">
        <v>38</v>
      </c>
      <c r="C34" s="110">
        <v>134</v>
      </c>
      <c r="D34" s="110">
        <v>69</v>
      </c>
      <c r="E34" s="108">
        <v>162</v>
      </c>
      <c r="F34" s="321">
        <v>87</v>
      </c>
      <c r="G34" s="88">
        <f t="shared" si="0"/>
        <v>28</v>
      </c>
      <c r="H34" s="111">
        <f t="shared" si="1"/>
        <v>20.895522388059703</v>
      </c>
      <c r="I34" s="361"/>
      <c r="J34" s="516">
        <f>RANK(H34,$H$10:$H$34,1)+COUNTIF($H$34:H34,H34)-1</f>
        <v>25</v>
      </c>
      <c r="K34" s="377" t="str">
        <f>INDEX(B10:H34,MATCH(25,J10:J34,0),1)</f>
        <v>Tarnobrzeg</v>
      </c>
      <c r="L34" s="972">
        <f>INDEX(B10:H34,MATCH(25,J10:J34,0),7)</f>
        <v>20.895522388059703</v>
      </c>
    </row>
    <row r="35" spans="2:12" x14ac:dyDescent="0.25">
      <c r="C35" s="337">
        <f>SUM(C10:C34)</f>
        <v>10664</v>
      </c>
      <c r="D35" s="337">
        <f>SUM(D10:D34)</f>
        <v>5450</v>
      </c>
      <c r="E35" s="337">
        <f>SUM(E10:E34)</f>
        <v>10487</v>
      </c>
      <c r="F35" s="337">
        <f>SUM(F10:F34)</f>
        <v>5346</v>
      </c>
    </row>
  </sheetData>
  <mergeCells count="6">
    <mergeCell ref="B9:H9"/>
    <mergeCell ref="B3:B4"/>
    <mergeCell ref="E3:F3"/>
    <mergeCell ref="C3:D3"/>
    <mergeCell ref="G3:G4"/>
    <mergeCell ref="H3:H4"/>
  </mergeCells>
  <printOptions horizontalCentered="1"/>
  <pageMargins left="0" right="0" top="1.0236220472440944" bottom="0.31496062992125984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T.I</vt:lpstr>
      <vt:lpstr>T.II</vt:lpstr>
      <vt:lpstr>T.III</vt:lpstr>
      <vt:lpstr>T.IV</vt:lpstr>
      <vt:lpstr>T.V</vt:lpstr>
      <vt:lpstr>T.VI</vt:lpstr>
      <vt:lpstr>T.VII</vt:lpstr>
      <vt:lpstr>T.VIII</vt:lpstr>
      <vt:lpstr>T.IX</vt:lpstr>
      <vt:lpstr>T.X T.XI T.XII</vt:lpstr>
      <vt:lpstr>T.XIII</vt:lpstr>
      <vt:lpstr>T.XIV T.XV</vt:lpstr>
      <vt:lpstr>T.XVI</vt:lpstr>
      <vt:lpstr>T.XVII</vt:lpstr>
      <vt:lpstr>T.XVIII</vt:lpstr>
      <vt:lpstr>T.XIX</vt:lpstr>
      <vt:lpstr>T.XX</vt:lpstr>
      <vt:lpstr>T.XXI</vt:lpstr>
      <vt:lpstr>T.XXII</vt:lpstr>
      <vt:lpstr>T.XXIII</vt:lpstr>
      <vt:lpstr>T.XXIV</vt:lpstr>
      <vt:lpstr>T.XXV</vt:lpstr>
      <vt:lpstr>T.XXVI</vt:lpstr>
      <vt:lpstr>T.XXVII</vt:lpstr>
      <vt:lpstr>T.XXVIII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lastModifiedBy>Bartosz Kostecki</cp:lastModifiedBy>
  <cp:lastPrinted>2026-03-10T08:23:25Z</cp:lastPrinted>
  <dcterms:created xsi:type="dcterms:W3CDTF">2016-01-29T08:03:05Z</dcterms:created>
  <dcterms:modified xsi:type="dcterms:W3CDTF">2026-03-10T08:31:01Z</dcterms:modified>
</cp:coreProperties>
</file>